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_予算\R07\R0703_当初\18_補助金一覧\04_HP掲載\"/>
    </mc:Choice>
  </mc:AlternateContent>
  <bookViews>
    <workbookView xWindow="0" yWindow="0" windowWidth="20895" windowHeight="11970"/>
  </bookViews>
  <sheets>
    <sheet name="R7補助金" sheetId="3" r:id="rId1"/>
  </sheets>
  <definedNames>
    <definedName name="_xlnm._FilterDatabase" localSheetId="0" hidden="1">'R7補助金'!$A$4:$O$276</definedName>
    <definedName name="_xlnm.Print_Area" localSheetId="0">'R7補助金'!$A$1:$I$276</definedName>
    <definedName name="_xlnm.Print_Titles" localSheetId="0">'R7補助金'!$3:$4</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E275" i="3" l="1"/>
  <c r="E269" i="3"/>
  <c r="E267" i="3"/>
  <c r="E265" i="3"/>
  <c r="E263" i="3"/>
  <c r="E261" i="3"/>
  <c r="E259" i="3"/>
  <c r="E255" i="3"/>
  <c r="E253" i="3"/>
  <c r="E251" i="3"/>
  <c r="E247" i="3"/>
  <c r="E245" i="3"/>
  <c r="E241" i="3"/>
  <c r="E239" i="3"/>
  <c r="E237" i="3"/>
  <c r="E235" i="3"/>
  <c r="E233" i="3"/>
  <c r="E231" i="3"/>
  <c r="E229" i="3"/>
  <c r="E227" i="3"/>
  <c r="E225" i="3"/>
  <c r="E223" i="3"/>
  <c r="E221" i="3"/>
  <c r="E219" i="3"/>
  <c r="E217" i="3"/>
  <c r="E215" i="3"/>
  <c r="E213" i="3"/>
  <c r="E211" i="3"/>
  <c r="E209" i="3"/>
  <c r="E207" i="3"/>
  <c r="E205" i="3"/>
  <c r="E203" i="3"/>
  <c r="E201" i="3"/>
  <c r="E199" i="3"/>
  <c r="E197" i="3"/>
  <c r="E195" i="3"/>
  <c r="E187" i="3"/>
  <c r="E185" i="3"/>
  <c r="E165" i="3"/>
  <c r="E159" i="3"/>
  <c r="E157" i="3"/>
  <c r="E155" i="3"/>
  <c r="E153" i="3"/>
  <c r="E149" i="3"/>
  <c r="E147" i="3"/>
  <c r="E145" i="3"/>
  <c r="E143" i="3"/>
  <c r="E141" i="3"/>
  <c r="E139" i="3"/>
  <c r="E137" i="3"/>
  <c r="E133" i="3"/>
  <c r="E131" i="3"/>
  <c r="E129" i="3"/>
  <c r="E127" i="3"/>
  <c r="E125" i="3"/>
  <c r="E123" i="3"/>
  <c r="E119" i="3"/>
  <c r="E117" i="3"/>
  <c r="E115" i="3"/>
  <c r="E113" i="3"/>
  <c r="E111" i="3"/>
  <c r="E109" i="3"/>
  <c r="E107" i="3"/>
  <c r="E105" i="3"/>
  <c r="E103" i="3"/>
  <c r="E101" i="3"/>
  <c r="E99" i="3"/>
  <c r="E97" i="3"/>
  <c r="E95" i="3"/>
  <c r="E93" i="3"/>
  <c r="E91" i="3"/>
  <c r="E89" i="3"/>
  <c r="E87" i="3"/>
  <c r="E85" i="3"/>
  <c r="E83" i="3"/>
  <c r="E81" i="3"/>
  <c r="E79" i="3"/>
  <c r="E77" i="3"/>
  <c r="E75" i="3"/>
  <c r="E73" i="3"/>
  <c r="E71" i="3"/>
  <c r="E69" i="3"/>
  <c r="E65" i="3"/>
  <c r="E63" i="3"/>
  <c r="E61" i="3"/>
  <c r="E59" i="3"/>
  <c r="E57" i="3"/>
  <c r="E55" i="3"/>
  <c r="E49" i="3"/>
  <c r="E45" i="3"/>
  <c r="E41" i="3"/>
  <c r="E39" i="3"/>
  <c r="E33" i="3"/>
  <c r="E31" i="3"/>
  <c r="E29" i="3"/>
  <c r="E27" i="3"/>
  <c r="E23" i="3"/>
  <c r="E21" i="3" l="1"/>
  <c r="E19" i="3"/>
  <c r="E15" i="3"/>
  <c r="E7" i="3"/>
  <c r="E5" i="3"/>
  <c r="E46" i="3" l="1"/>
  <c r="G115" i="3" l="1"/>
  <c r="E218" i="3" l="1"/>
  <c r="E156" i="3"/>
  <c r="E158" i="3"/>
  <c r="E43" i="3" l="1"/>
  <c r="E144" i="3" l="1"/>
  <c r="E240" i="3"/>
  <c r="E238" i="3"/>
  <c r="E236" i="3"/>
  <c r="E264" i="3"/>
  <c r="E262" i="3"/>
  <c r="E260" i="3"/>
  <c r="E276" i="3"/>
  <c r="E234" i="3"/>
  <c r="E232" i="3"/>
  <c r="E214" i="3"/>
  <c r="E136" i="3"/>
  <c r="E108" i="3"/>
  <c r="E106" i="3"/>
  <c r="E104" i="3"/>
  <c r="E248" i="3"/>
  <c r="E256" i="3"/>
  <c r="E254" i="3"/>
  <c r="E252" i="3"/>
  <c r="G105" i="3" l="1"/>
  <c r="G103" i="3"/>
  <c r="G275" i="3" l="1"/>
  <c r="G229" i="3" l="1"/>
  <c r="G227" i="3"/>
  <c r="G225" i="3"/>
  <c r="G223" i="3"/>
  <c r="G263" i="3"/>
  <c r="G261" i="3"/>
  <c r="G217" i="3"/>
  <c r="G221" i="3"/>
  <c r="G153" i="3"/>
  <c r="G239" i="3"/>
  <c r="G237" i="3"/>
  <c r="G235" i="3"/>
  <c r="G233" i="3"/>
  <c r="G125" i="3"/>
  <c r="G123" i="3"/>
  <c r="G245" i="3"/>
  <c r="G219" i="3"/>
  <c r="G241" i="3"/>
  <c r="G269" i="3"/>
  <c r="G63" i="3"/>
  <c r="G59" i="3"/>
  <c r="G57" i="3"/>
  <c r="G55" i="3"/>
  <c r="G49" i="3"/>
  <c r="G39" i="3"/>
  <c r="G33" i="3"/>
  <c r="G113" i="3"/>
  <c r="G111" i="3"/>
  <c r="G109" i="3"/>
  <c r="G107" i="3"/>
  <c r="G99" i="3"/>
  <c r="G95" i="3"/>
  <c r="G97" i="3"/>
  <c r="G91" i="3"/>
  <c r="G89" i="3"/>
  <c r="G101" i="3"/>
  <c r="G87" i="3"/>
  <c r="G85" i="3"/>
  <c r="G83" i="3"/>
  <c r="G81" i="3"/>
  <c r="G79" i="3"/>
  <c r="G77" i="3"/>
  <c r="G75" i="3"/>
  <c r="G71" i="3"/>
  <c r="G157" i="3"/>
  <c r="G155" i="3"/>
  <c r="G147" i="3"/>
  <c r="G215" i="3"/>
  <c r="G211" i="3"/>
  <c r="G209" i="3"/>
  <c r="G207" i="3"/>
  <c r="G205" i="3"/>
  <c r="G203" i="3"/>
  <c r="G201" i="3"/>
  <c r="G199" i="3"/>
  <c r="G197" i="3"/>
  <c r="G195" i="3"/>
  <c r="G145" i="3"/>
  <c r="G143" i="3"/>
  <c r="G141" i="3"/>
  <c r="G139" i="3"/>
  <c r="G137" i="3"/>
  <c r="G133" i="3"/>
  <c r="G131" i="3"/>
  <c r="G259" i="3"/>
  <c r="G255" i="3"/>
  <c r="G253" i="3"/>
  <c r="G251" i="3"/>
  <c r="G247" i="3"/>
  <c r="G31" i="3"/>
  <c r="G29" i="3"/>
  <c r="G27" i="3"/>
  <c r="G19" i="3"/>
</calcChain>
</file>

<file path=xl/sharedStrings.xml><?xml version="1.0" encoding="utf-8"?>
<sst xmlns="http://schemas.openxmlformats.org/spreadsheetml/2006/main" count="1203" uniqueCount="318">
  <si>
    <t>分野</t>
  </si>
  <si>
    <t>補助金等の名称</t>
  </si>
  <si>
    <t>種別</t>
  </si>
  <si>
    <t>担当課</t>
  </si>
  <si>
    <r>
      <rPr>
        <b/>
        <sz val="22"/>
        <rFont val="DejaVu Sans"/>
        <family val="2"/>
      </rPr>
      <t xml:space="preserve">担当係電話番号
</t>
    </r>
    <r>
      <rPr>
        <b/>
        <sz val="22"/>
        <color rgb="FF0070C0"/>
        <rFont val="DejaVu Sans"/>
        <family val="2"/>
      </rPr>
      <t>（市外局番：</t>
    </r>
    <r>
      <rPr>
        <b/>
        <sz val="22"/>
        <color rgb="FF0070C0"/>
        <rFont val="メイリオ"/>
        <family val="3"/>
      </rPr>
      <t>0596</t>
    </r>
    <r>
      <rPr>
        <b/>
        <sz val="22"/>
        <color rgb="FF0070C0"/>
        <rFont val="DejaVu Sans"/>
        <family val="2"/>
      </rPr>
      <t>）</t>
    </r>
  </si>
  <si>
    <t>概要</t>
  </si>
  <si>
    <t>交付金</t>
  </si>
  <si>
    <t>市民交流課</t>
  </si>
  <si>
    <r>
      <rPr>
        <sz val="20"/>
        <color rgb="FF002060"/>
        <rFont val="DejaVu Sans"/>
        <family val="2"/>
      </rPr>
      <t xml:space="preserve">地域自治推進係
</t>
    </r>
    <r>
      <rPr>
        <sz val="24"/>
        <color rgb="FF002060"/>
        <rFont val="メイリオ"/>
        <family val="3"/>
      </rPr>
      <t>21-5563</t>
    </r>
  </si>
  <si>
    <t>　まちづくり協議会の活動や事務運営に必要な経費の一部を補助します。</t>
  </si>
  <si>
    <t>補助金</t>
  </si>
  <si>
    <t>コミュニティ助成事業補助金</t>
  </si>
  <si>
    <t>元気なまちづくり協働事業補助金</t>
  </si>
  <si>
    <t>　自治会が主体的に取り組む事業を補助します。（ふるさと未来づくり資金一括交付金を受けたまちづくり協議会の構成自治会は除く）</t>
  </si>
  <si>
    <t>地区振興助成金</t>
  </si>
  <si>
    <t>　自治会活動を推進するため補助します。（ふるさと未来づくり資金一括交付金を受けたまちづくり協議会の構成自治会は除く）</t>
  </si>
  <si>
    <t>墓地整備事業補助金</t>
  </si>
  <si>
    <t>環境課</t>
  </si>
  <si>
    <r>
      <rPr>
        <sz val="20"/>
        <color rgb="FF002060"/>
        <rFont val="DejaVu Sans"/>
        <family val="2"/>
      </rPr>
      <t xml:space="preserve">環境対策係
</t>
    </r>
    <r>
      <rPr>
        <sz val="24"/>
        <color rgb="FF002060"/>
        <rFont val="メイリオ"/>
        <family val="3"/>
      </rPr>
      <t>21</t>
    </r>
    <r>
      <rPr>
        <sz val="24"/>
        <color rgb="FF002060"/>
        <rFont val="DejaVu Sans"/>
        <family val="2"/>
      </rPr>
      <t>－</t>
    </r>
    <r>
      <rPr>
        <sz val="24"/>
        <color rgb="FF002060"/>
        <rFont val="メイリオ"/>
        <family val="3"/>
      </rPr>
      <t>5541</t>
    </r>
  </si>
  <si>
    <t>ごみ減量課</t>
  </si>
  <si>
    <r>
      <rPr>
        <sz val="20"/>
        <color rgb="FF002060"/>
        <rFont val="DejaVu Sans"/>
        <family val="2"/>
      </rPr>
      <t xml:space="preserve">ごみ減量推進係
</t>
    </r>
    <r>
      <rPr>
        <sz val="24"/>
        <color rgb="FF002060"/>
        <rFont val="メイリオ"/>
        <family val="3"/>
      </rPr>
      <t>37-1443</t>
    </r>
  </si>
  <si>
    <t>交通政策課</t>
  </si>
  <si>
    <r>
      <rPr>
        <sz val="20"/>
        <color rgb="FF002060"/>
        <rFont val="DejaVu Sans"/>
        <family val="2"/>
      </rPr>
      <t xml:space="preserve">交通安全係
</t>
    </r>
    <r>
      <rPr>
        <sz val="24"/>
        <color rgb="FF002060"/>
        <rFont val="メイリオ"/>
        <family val="3"/>
      </rPr>
      <t>21-5508</t>
    </r>
  </si>
  <si>
    <t>地域運営乗合タクシー運行事業補助金</t>
  </si>
  <si>
    <r>
      <rPr>
        <sz val="20"/>
        <color rgb="FF002060"/>
        <rFont val="DejaVu Sans"/>
        <family val="2"/>
      </rPr>
      <t xml:space="preserve">公共交通係
</t>
    </r>
    <r>
      <rPr>
        <sz val="24"/>
        <color rgb="FF002060"/>
        <rFont val="メイリオ"/>
        <family val="3"/>
      </rPr>
      <t>21‐5593</t>
    </r>
  </si>
  <si>
    <r>
      <rPr>
        <sz val="20"/>
        <color rgb="FF002060"/>
        <rFont val="DejaVu Sans"/>
        <family val="2"/>
      </rPr>
      <t xml:space="preserve">防災危機管理係
</t>
    </r>
    <r>
      <rPr>
        <sz val="24"/>
        <color rgb="FF002060"/>
        <rFont val="メイリオ"/>
        <family val="3"/>
      </rPr>
      <t>21-5523</t>
    </r>
  </si>
  <si>
    <t>住宅政策課</t>
  </si>
  <si>
    <r>
      <rPr>
        <sz val="20"/>
        <color rgb="FF002060"/>
        <rFont val="DejaVu Sans"/>
        <family val="2"/>
      </rPr>
      <t xml:space="preserve">住宅係
</t>
    </r>
    <r>
      <rPr>
        <sz val="24"/>
        <color rgb="FF002060"/>
        <rFont val="メイリオ"/>
        <family val="3"/>
      </rPr>
      <t>21-5596</t>
    </r>
  </si>
  <si>
    <t>大雨による災害に係る被災住宅復旧工事補助金</t>
  </si>
  <si>
    <t>環　境</t>
  </si>
  <si>
    <r>
      <rPr>
        <sz val="20"/>
        <color rgb="FF002060"/>
        <rFont val="DejaVu Sans"/>
        <family val="2"/>
      </rPr>
      <t xml:space="preserve">環境対策係
</t>
    </r>
    <r>
      <rPr>
        <sz val="24"/>
        <color rgb="FF002060"/>
        <rFont val="メイリオ"/>
        <family val="3"/>
      </rPr>
      <t>21-5541</t>
    </r>
  </si>
  <si>
    <t>【再掲】墓地整備事業補助金</t>
  </si>
  <si>
    <t>下水道
施設管理課</t>
  </si>
  <si>
    <t>産業</t>
  </si>
  <si>
    <t>商工業</t>
  </si>
  <si>
    <t>商工労政課</t>
  </si>
  <si>
    <r>
      <rPr>
        <sz val="20"/>
        <color rgb="FF002060"/>
        <rFont val="DejaVu Sans"/>
        <family val="2"/>
      </rPr>
      <t xml:space="preserve">商工係
</t>
    </r>
    <r>
      <rPr>
        <sz val="24"/>
        <color rgb="FF002060"/>
        <rFont val="メイリオ"/>
        <family val="3"/>
      </rPr>
      <t>21-5512</t>
    </r>
  </si>
  <si>
    <r>
      <rPr>
        <sz val="20"/>
        <color rgb="FF002060"/>
        <rFont val="DejaVu Sans"/>
        <family val="2"/>
      </rPr>
      <t xml:space="preserve">産業支援係
</t>
    </r>
    <r>
      <rPr>
        <sz val="24"/>
        <color rgb="FF002060"/>
        <rFont val="メイリオ"/>
        <family val="3"/>
      </rPr>
      <t>21-5633</t>
    </r>
  </si>
  <si>
    <t>農林水産業</t>
  </si>
  <si>
    <t>特色ある農産物づくり支援事業補助金</t>
  </si>
  <si>
    <t>農業振興補助金</t>
  </si>
  <si>
    <t>農業経営基盤強化資金利子補給金</t>
  </si>
  <si>
    <t>農業近代化資金（中核農業者育成）利子補給金</t>
  </si>
  <si>
    <t>耕作放棄地解消事業補助金</t>
  </si>
  <si>
    <t>機構集積協力金</t>
  </si>
  <si>
    <t>多面的機能支払交付金</t>
  </si>
  <si>
    <t>土地改良事業補助金</t>
  </si>
  <si>
    <t>観光関連</t>
  </si>
  <si>
    <t>観光振興課</t>
  </si>
  <si>
    <t>子育て応援課</t>
  </si>
  <si>
    <t>健康課</t>
  </si>
  <si>
    <r>
      <rPr>
        <sz val="20"/>
        <color rgb="FF002060"/>
        <rFont val="DejaVu Sans"/>
        <family val="2"/>
      </rPr>
      <t xml:space="preserve">母子保健係
</t>
    </r>
    <r>
      <rPr>
        <sz val="24"/>
        <color rgb="FF002060"/>
        <rFont val="メイリオ"/>
        <family val="3"/>
      </rPr>
      <t>27-2435</t>
    </r>
  </si>
  <si>
    <t>福祉有償運送普及促進支援事業補助金</t>
  </si>
  <si>
    <t>介護保険課</t>
  </si>
  <si>
    <r>
      <rPr>
        <sz val="20"/>
        <color rgb="FF002060"/>
        <rFont val="DejaVu Sans"/>
        <family val="2"/>
      </rPr>
      <t xml:space="preserve">介護給付係
</t>
    </r>
    <r>
      <rPr>
        <sz val="24"/>
        <color rgb="FF002060"/>
        <rFont val="メイリオ"/>
        <family val="3"/>
      </rPr>
      <t>21-5560</t>
    </r>
  </si>
  <si>
    <t>障がい者等交流会事業補助金</t>
  </si>
  <si>
    <t>　障がいのある人やその家族の交流、障がいのある人と地域住民等が自発的な交流会を開催する費用の一部を補助します。</t>
  </si>
  <si>
    <t>障害者自立更生事業補助金</t>
  </si>
  <si>
    <t>　障がいのある人の自立更生と社会参加のため、団体が実施する事業の費用の一部を補助します。</t>
  </si>
  <si>
    <t>　運転免許を所持している重度の身体障がい者が、運転を容易にするために、ハンドルやブレーキ装置等を改造する場合、１０万円を限度として費用の一部を助成します。ただし、本人の所得制限があります。</t>
  </si>
  <si>
    <t>　市内における手話の普及を図るため、全国手話検定試験を受験した者に対して、検定試験に要した費用の一部を補助します。</t>
  </si>
  <si>
    <t>老人クラブ補助金</t>
  </si>
  <si>
    <t>　伊勢市老人クラブ連合会及び各地区単位老人クラブにおける老人クラブ活動等に対して補助します。</t>
  </si>
  <si>
    <t>医療保険課</t>
  </si>
  <si>
    <t>都市計画課</t>
  </si>
  <si>
    <r>
      <rPr>
        <sz val="20"/>
        <color rgb="FF002060"/>
        <rFont val="DejaVu Sans"/>
        <family val="2"/>
      </rPr>
      <t xml:space="preserve">計画係
</t>
    </r>
    <r>
      <rPr>
        <sz val="24"/>
        <color rgb="FF002060"/>
        <rFont val="メイリオ"/>
        <family val="3"/>
      </rPr>
      <t>21-5591</t>
    </r>
  </si>
  <si>
    <t>市街地再開発事業等補助金</t>
  </si>
  <si>
    <r>
      <rPr>
        <sz val="20"/>
        <color rgb="FF002060"/>
        <rFont val="DejaVu Sans"/>
        <family val="2"/>
      </rPr>
      <t xml:space="preserve">市街地整備係
</t>
    </r>
    <r>
      <rPr>
        <sz val="24"/>
        <color rgb="FF002060"/>
        <rFont val="メイリオ"/>
        <family val="3"/>
      </rPr>
      <t>21-5509</t>
    </r>
  </si>
  <si>
    <t>維持課</t>
  </si>
  <si>
    <r>
      <rPr>
        <sz val="20"/>
        <color rgb="FF002060"/>
        <rFont val="DejaVu Sans"/>
        <family val="2"/>
      </rPr>
      <t xml:space="preserve">管理係
</t>
    </r>
    <r>
      <rPr>
        <sz val="24"/>
        <color rgb="FF002060"/>
        <rFont val="メイリオ"/>
        <family val="3"/>
      </rPr>
      <t>21-5589</t>
    </r>
  </si>
  <si>
    <t>企画調整課</t>
  </si>
  <si>
    <t>伊勢市実費徴収に係る補足給付事業補助金</t>
  </si>
  <si>
    <t>教育総務課</t>
  </si>
  <si>
    <r>
      <rPr>
        <sz val="20"/>
        <color rgb="FF002060"/>
        <rFont val="DejaVu Sans"/>
        <family val="2"/>
      </rPr>
      <t xml:space="preserve">総務係
</t>
    </r>
    <r>
      <rPr>
        <sz val="24"/>
        <color rgb="FF002060"/>
        <rFont val="メイリオ"/>
        <family val="3"/>
      </rPr>
      <t>22-7875</t>
    </r>
  </si>
  <si>
    <t>学校教育課</t>
  </si>
  <si>
    <r>
      <rPr>
        <sz val="20"/>
        <color rgb="FF002060"/>
        <rFont val="DejaVu Sans"/>
        <family val="2"/>
      </rPr>
      <t xml:space="preserve">学事係
</t>
    </r>
    <r>
      <rPr>
        <sz val="24"/>
        <color rgb="FF002060"/>
        <rFont val="メイリオ"/>
        <family val="3"/>
      </rPr>
      <t>22-7879</t>
    </r>
  </si>
  <si>
    <r>
      <rPr>
        <sz val="20"/>
        <color rgb="FF002060"/>
        <rFont val="DejaVu Sans"/>
        <family val="2"/>
      </rPr>
      <t xml:space="preserve">指導係
</t>
    </r>
    <r>
      <rPr>
        <sz val="24"/>
        <color rgb="FF002060"/>
        <rFont val="メイリオ"/>
        <family val="3"/>
      </rPr>
      <t>22-7881</t>
    </r>
  </si>
  <si>
    <t>補助金</t>
    <rPh sb="0" eb="3">
      <t>ホジョキン</t>
    </rPh>
    <phoneticPr fontId="2"/>
  </si>
  <si>
    <t>扶助費</t>
    <rPh sb="0" eb="3">
      <t>フジョヒ</t>
    </rPh>
    <phoneticPr fontId="24"/>
  </si>
  <si>
    <t>福祉総合支援
センター</t>
    <rPh sb="2" eb="4">
      <t>ソウゴウ</t>
    </rPh>
    <rPh sb="4" eb="6">
      <t>シエン</t>
    </rPh>
    <phoneticPr fontId="24"/>
  </si>
  <si>
    <t>経営継承・発展等支援事業補助金</t>
    <rPh sb="0" eb="2">
      <t>ケイエイ</t>
    </rPh>
    <rPh sb="2" eb="4">
      <t>ケイショウ</t>
    </rPh>
    <rPh sb="5" eb="7">
      <t>ハッテン</t>
    </rPh>
    <rPh sb="7" eb="8">
      <t>トウ</t>
    </rPh>
    <rPh sb="8" eb="10">
      <t>シエン</t>
    </rPh>
    <rPh sb="10" eb="12">
      <t>ジギョウ</t>
    </rPh>
    <rPh sb="12" eb="15">
      <t>ホジョキン</t>
    </rPh>
    <phoneticPr fontId="24"/>
  </si>
  <si>
    <t>　市内に在住する私立幼稚園の在園児に対して、世帯の市民税額等に応じて、国で定められた額を副食費として補助します。</t>
    <phoneticPr fontId="24"/>
  </si>
  <si>
    <r>
      <t>　下水道の供用開始の日から</t>
    </r>
    <r>
      <rPr>
        <sz val="20"/>
        <color rgb="FF002060"/>
        <rFont val="メイリオ"/>
        <family val="3"/>
      </rPr>
      <t>3</t>
    </r>
    <r>
      <rPr>
        <sz val="20"/>
        <color rgb="FF002060"/>
        <rFont val="DejaVu Sans"/>
        <family val="2"/>
      </rPr>
      <t>年以内に、公共下水道に接続することにより不用となる浄化槽を、雨水貯留施設として再利用するために行う工事に要する費用のうち</t>
    </r>
    <r>
      <rPr>
        <sz val="20"/>
        <color rgb="FF002060"/>
        <rFont val="メイリオ"/>
        <family val="3"/>
      </rPr>
      <t>2</t>
    </r>
    <r>
      <rPr>
        <sz val="20"/>
        <color rgb="FF002060"/>
        <rFont val="DejaVu Sans"/>
        <family val="2"/>
      </rPr>
      <t>分の</t>
    </r>
    <r>
      <rPr>
        <sz val="20"/>
        <color rgb="FF002060"/>
        <rFont val="メイリオ"/>
        <family val="3"/>
      </rPr>
      <t>1</t>
    </r>
    <r>
      <rPr>
        <sz val="20"/>
        <color rgb="FF002060"/>
        <rFont val="DejaVu Sans"/>
        <family val="2"/>
      </rPr>
      <t>（上限</t>
    </r>
    <r>
      <rPr>
        <sz val="20"/>
        <color rgb="FF002060"/>
        <rFont val="メイリオ"/>
        <family val="3"/>
      </rPr>
      <t>7.5</t>
    </r>
    <r>
      <rPr>
        <sz val="20"/>
        <color rgb="FF002060"/>
        <rFont val="DejaVu Sans"/>
        <family val="2"/>
      </rPr>
      <t>万円）を補助します。</t>
    </r>
  </si>
  <si>
    <r>
      <t>　下水道の処理区域内において、供用開始の日から</t>
    </r>
    <r>
      <rPr>
        <sz val="20"/>
        <color rgb="FF002060"/>
        <rFont val="メイリオ"/>
        <family val="3"/>
      </rPr>
      <t>3</t>
    </r>
    <r>
      <rPr>
        <sz val="20"/>
        <color rgb="FF002060"/>
        <rFont val="DejaVu Sans"/>
        <family val="2"/>
      </rPr>
      <t>年以内に、くみ取り便所の水洗化及び排水設備の設置又は改造を行う場合、市のあっせんを経て市と協定した金融機関から無利子で</t>
    </r>
    <r>
      <rPr>
        <sz val="20"/>
        <color rgb="FF002060"/>
        <rFont val="メイリオ"/>
        <family val="3"/>
      </rPr>
      <t>100</t>
    </r>
    <r>
      <rPr>
        <sz val="20"/>
        <color rgb="FF002060"/>
        <rFont val="DejaVu Sans"/>
        <family val="2"/>
      </rPr>
      <t>万円以内の融資を受けることができます。</t>
    </r>
  </si>
  <si>
    <r>
      <t>　下水道の処理区域内において、市民税非課税世帯等でくみ取り便所の水洗化及び排水設備の設置又は改造を行う者に対し、その工事に必要となる費用の</t>
    </r>
    <r>
      <rPr>
        <sz val="20"/>
        <color rgb="FF002060"/>
        <rFont val="メイリオ"/>
        <family val="3"/>
      </rPr>
      <t>2</t>
    </r>
    <r>
      <rPr>
        <sz val="20"/>
        <color rgb="FF002060"/>
        <rFont val="DejaVu Sans"/>
        <family val="2"/>
      </rPr>
      <t>分の</t>
    </r>
    <r>
      <rPr>
        <sz val="20"/>
        <color rgb="FF002060"/>
        <rFont val="メイリオ"/>
        <family val="3"/>
      </rPr>
      <t>1</t>
    </r>
    <r>
      <rPr>
        <sz val="20"/>
        <color rgb="FF002060"/>
        <rFont val="DejaVu Sans"/>
        <family val="2"/>
      </rPr>
      <t>に相当する額（上限</t>
    </r>
    <r>
      <rPr>
        <sz val="20"/>
        <color rgb="FF002060"/>
        <rFont val="メイリオ"/>
        <family val="3"/>
      </rPr>
      <t>38</t>
    </r>
    <r>
      <rPr>
        <sz val="20"/>
        <color rgb="FF002060"/>
        <rFont val="DejaVu Sans"/>
        <family val="2"/>
      </rPr>
      <t>万円）を助成します。</t>
    </r>
  </si>
  <si>
    <r>
      <rPr>
        <sz val="20"/>
        <rFont val="ＭＳ Ｐゴシック"/>
        <family val="3"/>
        <charset val="128"/>
      </rPr>
      <t>　市内の中小企業者や中小企業団体等が、販路拡大や新規需要開拓のために商談会等（</t>
    </r>
    <r>
      <rPr>
        <sz val="20"/>
        <rFont val="DejaVu Sans"/>
        <family val="2"/>
      </rPr>
      <t>WEB</t>
    </r>
    <r>
      <rPr>
        <sz val="20"/>
        <rFont val="ＭＳ Ｐゴシック"/>
        <family val="3"/>
        <charset val="128"/>
      </rPr>
      <t>商談会を含む）に出展する場合、出展料等の一部を補助します。
※同一の補助対象者が補助金の交付を受けられるのは、年度内１回限りです。ただし、令和５年度以降、通算して３回を限度とします。</t>
    </r>
    <rPh sb="115" eb="116">
      <t>ド</t>
    </rPh>
    <phoneticPr fontId="24"/>
  </si>
  <si>
    <t>農地利用効率化等支援交付金</t>
    <rPh sb="0" eb="2">
      <t>ノウチ</t>
    </rPh>
    <rPh sb="2" eb="4">
      <t>リヨウ</t>
    </rPh>
    <rPh sb="4" eb="7">
      <t>コウリツカ</t>
    </rPh>
    <rPh sb="7" eb="8">
      <t>トウ</t>
    </rPh>
    <rPh sb="8" eb="10">
      <t>シエン</t>
    </rPh>
    <rPh sb="10" eb="13">
      <t>コウフキン</t>
    </rPh>
    <phoneticPr fontId="24"/>
  </si>
  <si>
    <t>　「地域計画」に位置づけられた中心経営体等から経営を継承した後継者が、その経営を発展させるための経営発展計画に基づいて実施する取組に対して、補助金を交付します。</t>
    <rPh sb="2" eb="4">
      <t>チイキ</t>
    </rPh>
    <rPh sb="4" eb="6">
      <t>ケイカク</t>
    </rPh>
    <rPh sb="66" eb="67">
      <t>タイ</t>
    </rPh>
    <rPh sb="70" eb="73">
      <t>ホジョキン</t>
    </rPh>
    <rPh sb="74" eb="76">
      <t>コウフ</t>
    </rPh>
    <phoneticPr fontId="24"/>
  </si>
  <si>
    <t>　次世代を担う農業者となることを志向する者に対し、就農後の経営発展のために必要な機械・施設の導入等の取組に対して、補助金を交付します。</t>
    <rPh sb="53" eb="54">
      <t>タイ</t>
    </rPh>
    <rPh sb="57" eb="60">
      <t>ホジョキン</t>
    </rPh>
    <rPh sb="61" eb="63">
      <t>コウフ</t>
    </rPh>
    <phoneticPr fontId="24"/>
  </si>
  <si>
    <t>健康
福祉</t>
    <phoneticPr fontId="24"/>
  </si>
  <si>
    <t>伊勢市移住支援金</t>
  </si>
  <si>
    <r>
      <rPr>
        <sz val="20"/>
        <color rgb="FF002060"/>
        <rFont val="DejaVu Sans"/>
        <family val="2"/>
      </rPr>
      <t xml:space="preserve">空家対策係
</t>
    </r>
    <r>
      <rPr>
        <sz val="24"/>
        <color rgb="FF002060"/>
        <rFont val="メイリオ"/>
        <family val="3"/>
      </rPr>
      <t>21-5597</t>
    </r>
  </si>
  <si>
    <t>　申請者が居住する住宅のリフォーム工事を市内に本社がある建設業者等で行う場合に費用の一部を補助します。</t>
    <rPh sb="1" eb="4">
      <t>シンセイシャ</t>
    </rPh>
    <rPh sb="5" eb="7">
      <t>キョジュウ</t>
    </rPh>
    <rPh sb="9" eb="11">
      <t>ジュウタク</t>
    </rPh>
    <rPh sb="17" eb="19">
      <t>コウジ</t>
    </rPh>
    <rPh sb="20" eb="22">
      <t>シナイ</t>
    </rPh>
    <rPh sb="23" eb="25">
      <t>ホンシャ</t>
    </rPh>
    <phoneticPr fontId="24"/>
  </si>
  <si>
    <t>　骨髄移植、その他の医療行為により、過去に受けた予防接種の効果が期待できないと医師に診断された場合の再接種の費用を助成します。</t>
    <rPh sb="1" eb="5">
      <t>コツズイイショク</t>
    </rPh>
    <rPh sb="8" eb="9">
      <t>タ</t>
    </rPh>
    <rPh sb="10" eb="12">
      <t>イリョウ</t>
    </rPh>
    <rPh sb="12" eb="14">
      <t>コウイ</t>
    </rPh>
    <rPh sb="18" eb="20">
      <t>カコ</t>
    </rPh>
    <rPh sb="21" eb="22">
      <t>ウ</t>
    </rPh>
    <rPh sb="24" eb="26">
      <t>ヨボウ</t>
    </rPh>
    <rPh sb="26" eb="28">
      <t>セッシュ</t>
    </rPh>
    <rPh sb="29" eb="31">
      <t>コウカ</t>
    </rPh>
    <rPh sb="32" eb="34">
      <t>キタイ</t>
    </rPh>
    <rPh sb="39" eb="41">
      <t>イシ</t>
    </rPh>
    <rPh sb="42" eb="44">
      <t>シンダン</t>
    </rPh>
    <rPh sb="47" eb="49">
      <t>バアイ</t>
    </rPh>
    <rPh sb="50" eb="53">
      <t>サイセッシュ</t>
    </rPh>
    <rPh sb="54" eb="56">
      <t>ヒヨウ</t>
    </rPh>
    <rPh sb="57" eb="59">
      <t>ジョセイ</t>
    </rPh>
    <phoneticPr fontId="24"/>
  </si>
  <si>
    <t>商工労政課</t>
    <rPh sb="0" eb="2">
      <t>ショウコウ</t>
    </rPh>
    <rPh sb="2" eb="4">
      <t>ロウセイ</t>
    </rPh>
    <rPh sb="4" eb="5">
      <t>カ</t>
    </rPh>
    <phoneticPr fontId="24"/>
  </si>
  <si>
    <t>農林水産課</t>
    <rPh sb="0" eb="2">
      <t>ノウリン</t>
    </rPh>
    <rPh sb="2" eb="4">
      <t>スイサン</t>
    </rPh>
    <rPh sb="4" eb="5">
      <t>カ</t>
    </rPh>
    <phoneticPr fontId="24"/>
  </si>
  <si>
    <r>
      <rPr>
        <sz val="20"/>
        <color rgb="FF002060"/>
        <rFont val="ＭＳ Ｐゴシック"/>
        <family val="3"/>
        <charset val="128"/>
      </rPr>
      <t xml:space="preserve">農業振興係
</t>
    </r>
    <r>
      <rPr>
        <sz val="24"/>
        <color rgb="FF002060"/>
        <rFont val="メイリオ"/>
        <family val="3"/>
        <charset val="128"/>
      </rPr>
      <t>21-5645</t>
    </r>
    <rPh sb="0" eb="2">
      <t>ノウギョウ</t>
    </rPh>
    <rPh sb="2" eb="4">
      <t>シンコウ</t>
    </rPh>
    <rPh sb="4" eb="5">
      <t>カカリ</t>
    </rPh>
    <phoneticPr fontId="24"/>
  </si>
  <si>
    <r>
      <rPr>
        <sz val="20"/>
        <color rgb="FF002060"/>
        <rFont val="ＭＳ Ｐゴシック"/>
        <family val="3"/>
        <charset val="128"/>
      </rPr>
      <t xml:space="preserve">成人健診係
</t>
    </r>
    <r>
      <rPr>
        <sz val="24"/>
        <color rgb="FF002060"/>
        <rFont val="メイリオ"/>
        <family val="3"/>
        <charset val="128"/>
      </rPr>
      <t>27-2435</t>
    </r>
    <rPh sb="0" eb="2">
      <t>セイジン</t>
    </rPh>
    <rPh sb="2" eb="4">
      <t>ケンシン</t>
    </rPh>
    <rPh sb="4" eb="5">
      <t>カカリ</t>
    </rPh>
    <phoneticPr fontId="1"/>
  </si>
  <si>
    <r>
      <rPr>
        <sz val="20"/>
        <color rgb="FF002060"/>
        <rFont val="ＭＳ Ｐゴシック"/>
        <family val="3"/>
        <charset val="128"/>
      </rPr>
      <t xml:space="preserve">子育て応援係
</t>
    </r>
    <r>
      <rPr>
        <sz val="24"/>
        <color rgb="FF002060"/>
        <rFont val="メイリオ"/>
        <family val="3"/>
      </rPr>
      <t>21-5713</t>
    </r>
    <phoneticPr fontId="24"/>
  </si>
  <si>
    <t>　国家試験であるＩＴパスポート試験に合格した人に受験手数料の一部を補助します。</t>
    <rPh sb="1" eb="3">
      <t>コッカ</t>
    </rPh>
    <rPh sb="3" eb="5">
      <t>シケン</t>
    </rPh>
    <rPh sb="15" eb="17">
      <t>シケン</t>
    </rPh>
    <rPh sb="18" eb="20">
      <t>ゴウカク</t>
    </rPh>
    <rPh sb="22" eb="23">
      <t>ヒト</t>
    </rPh>
    <rPh sb="24" eb="26">
      <t>ジュケン</t>
    </rPh>
    <rPh sb="26" eb="29">
      <t>テスウリョウ</t>
    </rPh>
    <rPh sb="30" eb="32">
      <t>イチブ</t>
    </rPh>
    <rPh sb="33" eb="35">
      <t>ホジョ</t>
    </rPh>
    <phoneticPr fontId="24"/>
  </si>
  <si>
    <t>　東京圏から市に移住した方で、三重県のマッチング支援対象求人への就業等で定着に至った場合等に、移住支援金を交付します。</t>
    <rPh sb="34" eb="35">
      <t>トウ</t>
    </rPh>
    <phoneticPr fontId="24"/>
  </si>
  <si>
    <t>助成金</t>
    <rPh sb="0" eb="3">
      <t>ジョセイキン</t>
    </rPh>
    <phoneticPr fontId="24"/>
  </si>
  <si>
    <t>　自治会が行うデジタル化促進に関する事業に対して、必要な経費の一部を補助します。</t>
  </si>
  <si>
    <t>補助金</t>
    <rPh sb="0" eb="3">
      <t>ホジョキン</t>
    </rPh>
    <phoneticPr fontId="24"/>
  </si>
  <si>
    <r>
      <rPr>
        <sz val="20"/>
        <rFont val="ＭＳ Ｐゴシック"/>
        <family val="3"/>
        <charset val="128"/>
      </rPr>
      <t>　市内の概ね</t>
    </r>
    <r>
      <rPr>
        <sz val="20"/>
        <rFont val="DejaVu Sans"/>
        <family val="2"/>
      </rPr>
      <t>1</t>
    </r>
    <r>
      <rPr>
        <sz val="20"/>
        <rFont val="ＭＳ Ｐゴシック"/>
        <family val="3"/>
        <charset val="128"/>
      </rPr>
      <t>年以上、かつ耐震基準を満たす空家を購入し、３年以上居住する方に対して、購入費用の一部を補助します。</t>
    </r>
    <rPh sb="4" eb="5">
      <t>オオム</t>
    </rPh>
    <rPh sb="7" eb="10">
      <t>ネンイジョウ</t>
    </rPh>
    <rPh sb="13" eb="17">
      <t>タイシンキジュン</t>
    </rPh>
    <rPh sb="18" eb="19">
      <t>ミ</t>
    </rPh>
    <rPh sb="24" eb="26">
      <t>コウニュウ</t>
    </rPh>
    <rPh sb="42" eb="44">
      <t>コウニュウ</t>
    </rPh>
    <phoneticPr fontId="24"/>
  </si>
  <si>
    <t>計画相談支援体制整備補助金</t>
  </si>
  <si>
    <t>ホームページURL</t>
    <phoneticPr fontId="24"/>
  </si>
  <si>
    <t>社会福祉法人利用者負担支援事業助成金</t>
    <rPh sb="15" eb="17">
      <t>ジョセイ</t>
    </rPh>
    <rPh sb="17" eb="18">
      <t>キン</t>
    </rPh>
    <phoneticPr fontId="24"/>
  </si>
  <si>
    <r>
      <t>　</t>
    </r>
    <r>
      <rPr>
        <sz val="20"/>
        <rFont val="ＭＳ Ｐゴシック"/>
        <family val="3"/>
        <charset val="128"/>
      </rPr>
      <t>工場等（製造施設・ホテル・情報サービス施設・研究施設）を新設・増設・移転する際に奨励金を交付します。</t>
    </r>
    <rPh sb="1" eb="3">
      <t>コウジョウ</t>
    </rPh>
    <rPh sb="3" eb="4">
      <t>トウ</t>
    </rPh>
    <rPh sb="5" eb="7">
      <t>セイゾウ</t>
    </rPh>
    <rPh sb="7" eb="9">
      <t>シセツ</t>
    </rPh>
    <rPh sb="14" eb="16">
      <t>ジョウホウ</t>
    </rPh>
    <rPh sb="20" eb="22">
      <t>シセツ</t>
    </rPh>
    <rPh sb="23" eb="25">
      <t>ケンキュウ</t>
    </rPh>
    <rPh sb="25" eb="27">
      <t>シセツ</t>
    </rPh>
    <rPh sb="29" eb="31">
      <t>シンセツ</t>
    </rPh>
    <rPh sb="32" eb="34">
      <t>ゾウセツ</t>
    </rPh>
    <rPh sb="35" eb="37">
      <t>イテン</t>
    </rPh>
    <rPh sb="39" eb="40">
      <t>サイ</t>
    </rPh>
    <rPh sb="41" eb="44">
      <t>ショウレイキン</t>
    </rPh>
    <rPh sb="45" eb="47">
      <t>コウフ</t>
    </rPh>
    <phoneticPr fontId="24"/>
  </si>
  <si>
    <r>
      <t xml:space="preserve">観光イベント係
</t>
    </r>
    <r>
      <rPr>
        <sz val="24"/>
        <rFont val="メイリオ"/>
        <family val="3"/>
        <charset val="128"/>
      </rPr>
      <t>21-5542</t>
    </r>
    <rPh sb="6" eb="7">
      <t>カカリ</t>
    </rPh>
    <phoneticPr fontId="40"/>
  </si>
  <si>
    <r>
      <rPr>
        <sz val="20"/>
        <rFont val="ＭＳ Ｐゴシック"/>
        <family val="3"/>
        <charset val="128"/>
      </rPr>
      <t>地域福祉</t>
    </r>
    <r>
      <rPr>
        <sz val="20"/>
        <rFont val="ＭＳ Ｐゴシック"/>
        <family val="3"/>
        <charset val="128"/>
      </rPr>
      <t xml:space="preserve">係
</t>
    </r>
    <r>
      <rPr>
        <sz val="24"/>
        <rFont val="メイリオ"/>
        <family val="3"/>
      </rPr>
      <t>21-5712</t>
    </r>
    <rPh sb="4" eb="5">
      <t>カカリ</t>
    </rPh>
    <phoneticPr fontId="24"/>
  </si>
  <si>
    <t>　市内の指定特定相談支援事業所における相談支援等専門員の人材定着・確保・機能強化等に係る経費の一部を補助します。</t>
    <rPh sb="1" eb="3">
      <t>シナイ</t>
    </rPh>
    <rPh sb="4" eb="6">
      <t>シテイ</t>
    </rPh>
    <rPh sb="6" eb="8">
      <t>トクテイ</t>
    </rPh>
    <rPh sb="8" eb="10">
      <t>ソウダン</t>
    </rPh>
    <rPh sb="10" eb="12">
      <t>シエン</t>
    </rPh>
    <rPh sb="12" eb="14">
      <t>ジギョウ</t>
    </rPh>
    <rPh sb="14" eb="15">
      <t>ショ</t>
    </rPh>
    <rPh sb="19" eb="21">
      <t>ソウダン</t>
    </rPh>
    <rPh sb="21" eb="23">
      <t>シエン</t>
    </rPh>
    <rPh sb="23" eb="24">
      <t>トウ</t>
    </rPh>
    <rPh sb="24" eb="27">
      <t>センモンイン</t>
    </rPh>
    <rPh sb="28" eb="30">
      <t>ジンザイ</t>
    </rPh>
    <rPh sb="30" eb="32">
      <t>テイチャク</t>
    </rPh>
    <rPh sb="33" eb="35">
      <t>カクホ</t>
    </rPh>
    <rPh sb="36" eb="38">
      <t>キノウ</t>
    </rPh>
    <rPh sb="38" eb="40">
      <t>キョウカ</t>
    </rPh>
    <rPh sb="40" eb="41">
      <t>トウ</t>
    </rPh>
    <rPh sb="42" eb="43">
      <t>カカ</t>
    </rPh>
    <rPh sb="44" eb="46">
      <t>ケイヒ</t>
    </rPh>
    <rPh sb="47" eb="49">
      <t>イチブ</t>
    </rPh>
    <rPh sb="50" eb="52">
      <t>ホジョ</t>
    </rPh>
    <phoneticPr fontId="24"/>
  </si>
  <si>
    <r>
      <rPr>
        <sz val="20"/>
        <color rgb="FF002060"/>
        <rFont val="ＭＳ Ｐゴシック"/>
        <family val="3"/>
        <charset val="128"/>
      </rPr>
      <t xml:space="preserve">障がい福祉係
</t>
    </r>
    <r>
      <rPr>
        <sz val="24"/>
        <color rgb="FF002060"/>
        <rFont val="メイリオ"/>
        <family val="3"/>
      </rPr>
      <t>21-5558</t>
    </r>
    <phoneticPr fontId="24"/>
  </si>
  <si>
    <t>防災・防犯</t>
    <rPh sb="0" eb="2">
      <t>ボウサイ</t>
    </rPh>
    <rPh sb="3" eb="5">
      <t>ボウハン</t>
    </rPh>
    <phoneticPr fontId="24"/>
  </si>
  <si>
    <t>市民・住民活動等</t>
    <phoneticPr fontId="24"/>
  </si>
  <si>
    <t>危機管理課</t>
    <phoneticPr fontId="24"/>
  </si>
  <si>
    <r>
      <rPr>
        <sz val="20"/>
        <color rgb="FF002060"/>
        <rFont val="ＭＳ Ｐゴシック"/>
        <family val="3"/>
        <charset val="128"/>
      </rPr>
      <t xml:space="preserve">防犯係
</t>
    </r>
    <r>
      <rPr>
        <sz val="24"/>
        <color rgb="FF002060"/>
        <rFont val="メイリオ"/>
        <family val="3"/>
        <charset val="128"/>
      </rPr>
      <t>21-5524</t>
    </r>
    <phoneticPr fontId="24"/>
  </si>
  <si>
    <t>　夜間の犯罪を防止し、安全な市民生活の確保を図るため、自治会が実施する防犯灯の整備等に要する経費に対して予算の範囲内で補助します。</t>
    <phoneticPr fontId="24"/>
  </si>
  <si>
    <r>
      <rPr>
        <sz val="20"/>
        <color rgb="FF002060"/>
        <rFont val="ＭＳ Ｐゴシック"/>
        <family val="3"/>
        <charset val="128"/>
      </rPr>
      <t xml:space="preserve">排水設備係
</t>
    </r>
    <r>
      <rPr>
        <sz val="24"/>
        <color rgb="FF002060"/>
        <rFont val="メイリオ"/>
        <family val="3"/>
      </rPr>
      <t>42-1538</t>
    </r>
    <phoneticPr fontId="24"/>
  </si>
  <si>
    <r>
      <rPr>
        <sz val="20"/>
        <color rgb="FF002060"/>
        <rFont val="ＭＳ Ｐゴシック"/>
        <family val="3"/>
        <charset val="128"/>
      </rPr>
      <t xml:space="preserve">ごみ減量推進係
</t>
    </r>
    <r>
      <rPr>
        <sz val="24"/>
        <color rgb="FF002060"/>
        <rFont val="メイリオ"/>
        <family val="3"/>
      </rPr>
      <t>37-1443</t>
    </r>
    <phoneticPr fontId="24"/>
  </si>
  <si>
    <t>補助金</t>
    <phoneticPr fontId="24"/>
  </si>
  <si>
    <r>
      <rPr>
        <sz val="20"/>
        <color rgb="FF002060"/>
        <rFont val="ＭＳ Ｐゴシック"/>
        <family val="3"/>
        <charset val="128"/>
      </rPr>
      <t xml:space="preserve">農林基盤整備係
</t>
    </r>
    <r>
      <rPr>
        <sz val="24"/>
        <color rgb="FF002060"/>
        <rFont val="メイリオ"/>
        <family val="3"/>
        <charset val="128"/>
      </rPr>
      <t>21-5648</t>
    </r>
    <phoneticPr fontId="24"/>
  </si>
  <si>
    <r>
      <rPr>
        <sz val="20"/>
        <color rgb="FF002060"/>
        <rFont val="ＭＳ Ｐゴシック"/>
        <family val="3"/>
        <charset val="128"/>
      </rPr>
      <t xml:space="preserve">管理係
</t>
    </r>
    <r>
      <rPr>
        <sz val="24"/>
        <color rgb="FF002060"/>
        <rFont val="メイリオ"/>
        <family val="3"/>
        <charset val="128"/>
      </rPr>
      <t>21-5644</t>
    </r>
    <phoneticPr fontId="24"/>
  </si>
  <si>
    <t>労働
・
能力開発</t>
    <phoneticPr fontId="24"/>
  </si>
  <si>
    <r>
      <rPr>
        <sz val="20"/>
        <color rgb="FF002060"/>
        <rFont val="ＭＳ Ｐゴシック"/>
        <family val="3"/>
        <charset val="128"/>
      </rPr>
      <t xml:space="preserve">労政係
</t>
    </r>
    <r>
      <rPr>
        <sz val="24"/>
        <color rgb="FF002060"/>
        <rFont val="メイリオ"/>
        <family val="3"/>
        <charset val="128"/>
      </rPr>
      <t>21-5568</t>
    </r>
    <phoneticPr fontId="24"/>
  </si>
  <si>
    <r>
      <rPr>
        <sz val="20"/>
        <color rgb="FF002060"/>
        <rFont val="ＭＳ Ｐゴシック"/>
        <family val="3"/>
        <charset val="128"/>
      </rPr>
      <t xml:space="preserve">子育て応援係
</t>
    </r>
    <r>
      <rPr>
        <sz val="24"/>
        <color rgb="FF002060"/>
        <rFont val="メイリオ"/>
        <family val="3"/>
        <charset val="128"/>
      </rPr>
      <t>21-5713</t>
    </r>
    <phoneticPr fontId="24"/>
  </si>
  <si>
    <r>
      <rPr>
        <sz val="20"/>
        <color rgb="FF002060"/>
        <rFont val="ＭＳ Ｐゴシック"/>
        <family val="3"/>
        <charset val="128"/>
      </rPr>
      <t xml:space="preserve">地域医療係
</t>
    </r>
    <r>
      <rPr>
        <sz val="24"/>
        <color rgb="FF002060"/>
        <rFont val="メイリオ"/>
        <family val="3"/>
      </rPr>
      <t>27-2435</t>
    </r>
    <phoneticPr fontId="24"/>
  </si>
  <si>
    <r>
      <rPr>
        <sz val="20"/>
        <color rgb="FF002060"/>
        <rFont val="ＭＳ Ｐゴシック"/>
        <family val="3"/>
        <charset val="128"/>
      </rPr>
      <t>　風しんの抗体価が低い妊娠を希望する女性等が風しん予防接種を受ける場合に費用の一部を助成します。（上限</t>
    </r>
    <r>
      <rPr>
        <sz val="20"/>
        <color rgb="FF002060"/>
        <rFont val="メイリオ"/>
        <family val="3"/>
      </rPr>
      <t>5,000</t>
    </r>
    <r>
      <rPr>
        <sz val="20"/>
        <color rgb="FF002060"/>
        <rFont val="ＭＳ Ｐゴシック"/>
        <family val="3"/>
        <charset val="128"/>
      </rPr>
      <t>円）</t>
    </r>
    <phoneticPr fontId="24"/>
  </si>
  <si>
    <t>子育て応援課</t>
    <phoneticPr fontId="24"/>
  </si>
  <si>
    <r>
      <rPr>
        <sz val="20"/>
        <color rgb="FF002060"/>
        <rFont val="ＭＳ Ｐゴシック"/>
        <family val="3"/>
        <charset val="128"/>
      </rPr>
      <t xml:space="preserve">高齢福祉係
</t>
    </r>
    <r>
      <rPr>
        <sz val="24"/>
        <color rgb="FF002060"/>
        <rFont val="メイリオ"/>
        <family val="3"/>
      </rPr>
      <t>21-5559</t>
    </r>
    <phoneticPr fontId="24"/>
  </si>
  <si>
    <t>　対象となる自転車を新たに購入する場合に、その購入費の一部を補助します。</t>
    <phoneticPr fontId="24"/>
  </si>
  <si>
    <r>
      <t xml:space="preserve"> </t>
    </r>
    <r>
      <rPr>
        <sz val="20"/>
        <color rgb="FF002060"/>
        <rFont val="ＭＳ Ｐゴシック"/>
        <family val="3"/>
        <charset val="128"/>
      </rPr>
      <t>　市内に住所を有する在宅の重度の身体障がい者本人または同一世帯に属する者が、福祉車両を購入または改造するために要する費用について、３０万円を限度として費用の一部を助成します。ただし、本人および介護者等の所得制限があります。</t>
    </r>
    <phoneticPr fontId="24"/>
  </si>
  <si>
    <t>　身体障がい者が自動車教習所において操作訓練を受け、運転免許を取得したとき、それに要した費用の一部が助成されます（他制度を利用できる方は除きます）。ただし、免許取得後１年以内に申請をしてください。</t>
    <phoneticPr fontId="24"/>
  </si>
  <si>
    <t>　障がいのある児童の心身の発達を助長し、また、経済的負担の軽減を図るため、機能訓練施設（三重県立子ども心身発達医療センター等）へ通所するための交通費の一部を助成します。</t>
    <phoneticPr fontId="24"/>
  </si>
  <si>
    <r>
      <rPr>
        <sz val="20"/>
        <color rgb="FF002060"/>
        <rFont val="ＭＳ Ｐゴシック"/>
        <family val="3"/>
        <charset val="128"/>
      </rPr>
      <t xml:space="preserve">国民健康保険給付係
</t>
    </r>
    <r>
      <rPr>
        <sz val="24"/>
        <color rgb="FF002060"/>
        <rFont val="メイリオ"/>
        <family val="3"/>
        <charset val="128"/>
      </rPr>
      <t>21-5646</t>
    </r>
    <phoneticPr fontId="24"/>
  </si>
  <si>
    <r>
      <rPr>
        <sz val="20"/>
        <color rgb="FF002060"/>
        <rFont val="ＭＳ Ｐゴシック"/>
        <family val="3"/>
        <charset val="128"/>
      </rPr>
      <t xml:space="preserve">シティプロモーション係
</t>
    </r>
    <r>
      <rPr>
        <sz val="24"/>
        <color rgb="FF002060"/>
        <rFont val="メイリオ"/>
        <family val="3"/>
        <charset val="128"/>
      </rPr>
      <t>21-5510</t>
    </r>
    <phoneticPr fontId="24"/>
  </si>
  <si>
    <t>介護</t>
    <rPh sb="0" eb="2">
      <t>カイゴ</t>
    </rPh>
    <phoneticPr fontId="24"/>
  </si>
  <si>
    <t>障がい</t>
    <rPh sb="0" eb="1">
      <t>ショウ</t>
    </rPh>
    <phoneticPr fontId="24"/>
  </si>
  <si>
    <t>高齢</t>
    <rPh sb="0" eb="2">
      <t>コウレイ</t>
    </rPh>
    <phoneticPr fontId="24"/>
  </si>
  <si>
    <t>妊娠・出産</t>
    <rPh sb="0" eb="2">
      <t>ニンシン</t>
    </rPh>
    <rPh sb="3" eb="5">
      <t>シュッサン</t>
    </rPh>
    <phoneticPr fontId="24"/>
  </si>
  <si>
    <t>子育て・教育</t>
    <rPh sb="0" eb="2">
      <t>コソダ</t>
    </rPh>
    <rPh sb="4" eb="6">
      <t>キョウイク</t>
    </rPh>
    <phoneticPr fontId="24"/>
  </si>
  <si>
    <t>住環境</t>
    <rPh sb="0" eb="3">
      <t>ジュウカンキョウ</t>
    </rPh>
    <phoneticPr fontId="24"/>
  </si>
  <si>
    <t>その他
まちづくり</t>
    <rPh sb="2" eb="3">
      <t>タ</t>
    </rPh>
    <phoneticPr fontId="24"/>
  </si>
  <si>
    <t>https://www.city.ise.mie.jp/kurashi/kankyo/hozen/1016396.html</t>
  </si>
  <si>
    <r>
      <rPr>
        <sz val="20"/>
        <color rgb="FF002060"/>
        <rFont val="ＭＳ Ｐゴシック"/>
        <family val="3"/>
        <charset val="128"/>
      </rPr>
      <t xml:space="preserve">温暖化防止推進係
</t>
    </r>
    <r>
      <rPr>
        <sz val="24"/>
        <color rgb="FF002060"/>
        <rFont val="メイリオ"/>
        <family val="3"/>
        <charset val="128"/>
      </rPr>
      <t>21-5540</t>
    </r>
    <rPh sb="0" eb="3">
      <t>オンダンカ</t>
    </rPh>
    <rPh sb="3" eb="5">
      <t>ボウシ</t>
    </rPh>
    <rPh sb="5" eb="7">
      <t>スイシン</t>
    </rPh>
    <rPh sb="7" eb="8">
      <t>カカリ</t>
    </rPh>
    <phoneticPr fontId="2"/>
  </si>
  <si>
    <t>https://www.city.ise.mie.jp/kurashi/kankyo/hozen/1016470.html</t>
  </si>
  <si>
    <t>医療・保健</t>
    <rPh sb="0" eb="2">
      <t>イリョウ</t>
    </rPh>
    <rPh sb="3" eb="5">
      <t>ホケン</t>
    </rPh>
    <phoneticPr fontId="24"/>
  </si>
  <si>
    <t>健康
福祉</t>
    <phoneticPr fontId="24"/>
  </si>
  <si>
    <r>
      <rPr>
        <sz val="20"/>
        <color rgb="FF002060"/>
        <rFont val="ＭＳ Ｐゴシック"/>
        <family val="3"/>
        <charset val="128"/>
      </rPr>
      <t xml:space="preserve">地域医療係
</t>
    </r>
    <r>
      <rPr>
        <sz val="24"/>
        <color rgb="FF002060"/>
        <rFont val="メイリオ"/>
        <family val="3"/>
        <charset val="128"/>
      </rPr>
      <t>27-2435</t>
    </r>
    <phoneticPr fontId="24"/>
  </si>
  <si>
    <r>
      <rPr>
        <sz val="20"/>
        <color rgb="FF002060"/>
        <rFont val="ＭＳ Ｐゴシック"/>
        <family val="3"/>
        <charset val="128"/>
      </rPr>
      <t xml:space="preserve">獣害対策係
</t>
    </r>
    <r>
      <rPr>
        <sz val="24"/>
        <color rgb="FF002060"/>
        <rFont val="メイリオ"/>
        <family val="3"/>
        <charset val="128"/>
      </rPr>
      <t>21-5645</t>
    </r>
    <rPh sb="0" eb="2">
      <t>ジュウガイ</t>
    </rPh>
    <rPh sb="2" eb="4">
      <t>タイサク</t>
    </rPh>
    <rPh sb="4" eb="5">
      <t>ガカリ</t>
    </rPh>
    <phoneticPr fontId="2"/>
  </si>
  <si>
    <r>
      <rPr>
        <sz val="20"/>
        <color rgb="FF002060"/>
        <rFont val="ＭＳ Ｐゴシック"/>
        <family val="3"/>
        <charset val="128"/>
      </rPr>
      <t xml:space="preserve">空家対策係
</t>
    </r>
    <r>
      <rPr>
        <sz val="24"/>
        <color rgb="FF002060"/>
        <rFont val="メイリオ"/>
        <family val="3"/>
      </rPr>
      <t>21-5597</t>
    </r>
    <phoneticPr fontId="24"/>
  </si>
  <si>
    <t>まち
づくり</t>
    <phoneticPr fontId="24"/>
  </si>
  <si>
    <t>市民交流課</t>
    <rPh sb="0" eb="2">
      <t>シミン</t>
    </rPh>
    <rPh sb="2" eb="4">
      <t>コウリュウ</t>
    </rPh>
    <rPh sb="4" eb="5">
      <t>カ</t>
    </rPh>
    <phoneticPr fontId="24"/>
  </si>
  <si>
    <t>環境課</t>
    <rPh sb="0" eb="2">
      <t>カンキョウ</t>
    </rPh>
    <rPh sb="2" eb="3">
      <t>カ</t>
    </rPh>
    <phoneticPr fontId="24"/>
  </si>
  <si>
    <t>ごみ減量課</t>
    <rPh sb="2" eb="3">
      <t>ゲン</t>
    </rPh>
    <rPh sb="3" eb="4">
      <t>リョウ</t>
    </rPh>
    <rPh sb="4" eb="5">
      <t>カ</t>
    </rPh>
    <phoneticPr fontId="24"/>
  </si>
  <si>
    <t>交通政策課</t>
    <rPh sb="0" eb="2">
      <t>コウツウ</t>
    </rPh>
    <rPh sb="2" eb="5">
      <t>セイサクカ</t>
    </rPh>
    <phoneticPr fontId="24"/>
  </si>
  <si>
    <t>危機管理課</t>
    <rPh sb="0" eb="2">
      <t>キキ</t>
    </rPh>
    <rPh sb="2" eb="4">
      <t>カンリ</t>
    </rPh>
    <rPh sb="4" eb="5">
      <t>カ</t>
    </rPh>
    <phoneticPr fontId="24"/>
  </si>
  <si>
    <t>福祉総合支援センター</t>
    <rPh sb="0" eb="2">
      <t>フクシ</t>
    </rPh>
    <rPh sb="2" eb="4">
      <t>ソウゴウ</t>
    </rPh>
    <rPh sb="4" eb="6">
      <t>シエン</t>
    </rPh>
    <phoneticPr fontId="24"/>
  </si>
  <si>
    <t>介護保険課</t>
    <rPh sb="0" eb="2">
      <t>カイゴ</t>
    </rPh>
    <rPh sb="2" eb="4">
      <t>ホケン</t>
    </rPh>
    <rPh sb="4" eb="5">
      <t>カ</t>
    </rPh>
    <phoneticPr fontId="24"/>
  </si>
  <si>
    <t>高齢・障がい福祉課</t>
    <rPh sb="0" eb="2">
      <t>コウレイ</t>
    </rPh>
    <rPh sb="3" eb="4">
      <t>ショウ</t>
    </rPh>
    <rPh sb="6" eb="9">
      <t>フクシカ</t>
    </rPh>
    <phoneticPr fontId="24"/>
  </si>
  <si>
    <t>医療保険課</t>
    <rPh sb="0" eb="2">
      <t>イリョウ</t>
    </rPh>
    <rPh sb="2" eb="4">
      <t>ホケン</t>
    </rPh>
    <rPh sb="4" eb="5">
      <t>カ</t>
    </rPh>
    <phoneticPr fontId="24"/>
  </si>
  <si>
    <t>健康課</t>
    <rPh sb="0" eb="2">
      <t>ケンコウ</t>
    </rPh>
    <rPh sb="2" eb="3">
      <t>カ</t>
    </rPh>
    <phoneticPr fontId="24"/>
  </si>
  <si>
    <t>子育て応援課</t>
    <rPh sb="0" eb="2">
      <t>コソダ</t>
    </rPh>
    <rPh sb="3" eb="5">
      <t>オウエン</t>
    </rPh>
    <rPh sb="5" eb="6">
      <t>カ</t>
    </rPh>
    <phoneticPr fontId="24"/>
  </si>
  <si>
    <t>教育総務課</t>
    <rPh sb="0" eb="2">
      <t>キョウイク</t>
    </rPh>
    <rPh sb="2" eb="5">
      <t>ソウムカ</t>
    </rPh>
    <phoneticPr fontId="24"/>
  </si>
  <si>
    <t>学校教育課</t>
    <rPh sb="0" eb="2">
      <t>ガッコウ</t>
    </rPh>
    <rPh sb="2" eb="4">
      <t>キョウイク</t>
    </rPh>
    <rPh sb="4" eb="5">
      <t>カ</t>
    </rPh>
    <phoneticPr fontId="24"/>
  </si>
  <si>
    <t>下水道施設管理課</t>
    <rPh sb="0" eb="3">
      <t>ゲスイドウ</t>
    </rPh>
    <rPh sb="3" eb="5">
      <t>シセツ</t>
    </rPh>
    <rPh sb="5" eb="7">
      <t>カンリ</t>
    </rPh>
    <rPh sb="7" eb="8">
      <t>カ</t>
    </rPh>
    <phoneticPr fontId="24"/>
  </si>
  <si>
    <t>農林水産課</t>
    <rPh sb="0" eb="5">
      <t>ノウリンスイサンカ</t>
    </rPh>
    <phoneticPr fontId="24"/>
  </si>
  <si>
    <t>観光振興課</t>
    <rPh sb="0" eb="2">
      <t>カンコウ</t>
    </rPh>
    <rPh sb="2" eb="5">
      <t>シンコウカ</t>
    </rPh>
    <phoneticPr fontId="24"/>
  </si>
  <si>
    <t>観光振興課</t>
    <rPh sb="0" eb="5">
      <t>カンコウシンコウカ</t>
    </rPh>
    <phoneticPr fontId="24"/>
  </si>
  <si>
    <t>住宅政策課</t>
    <rPh sb="0" eb="2">
      <t>ジュウタク</t>
    </rPh>
    <rPh sb="2" eb="4">
      <t>セイサク</t>
    </rPh>
    <rPh sb="4" eb="5">
      <t>カ</t>
    </rPh>
    <phoneticPr fontId="24"/>
  </si>
  <si>
    <t>維持課</t>
    <rPh sb="0" eb="3">
      <t>イジカ</t>
    </rPh>
    <phoneticPr fontId="24"/>
  </si>
  <si>
    <t>企画調整課</t>
    <rPh sb="0" eb="2">
      <t>キカク</t>
    </rPh>
    <rPh sb="2" eb="4">
      <t>チョウセイ</t>
    </rPh>
    <rPh sb="4" eb="5">
      <t>カ</t>
    </rPh>
    <phoneticPr fontId="24"/>
  </si>
  <si>
    <t>危機管理課</t>
    <rPh sb="0" eb="5">
      <t>キキカンリカ</t>
    </rPh>
    <phoneticPr fontId="24"/>
  </si>
  <si>
    <t>非木造等建築物耐震診断事業補助金</t>
    <phoneticPr fontId="24"/>
  </si>
  <si>
    <t>都市計画課</t>
    <rPh sb="0" eb="2">
      <t>トシ</t>
    </rPh>
    <rPh sb="2" eb="4">
      <t>ケイカク</t>
    </rPh>
    <rPh sb="4" eb="5">
      <t>カ</t>
    </rPh>
    <phoneticPr fontId="24"/>
  </si>
  <si>
    <t>都市計画課</t>
    <rPh sb="0" eb="5">
      <t>トシケイカクカ</t>
    </rPh>
    <phoneticPr fontId="24"/>
  </si>
  <si>
    <r>
      <rPr>
        <sz val="20"/>
        <color rgb="FF002060"/>
        <rFont val="ＭＳ Ｐゴシック"/>
        <family val="3"/>
        <charset val="128"/>
      </rPr>
      <t>　要介護認定者であり低所得で特に生計が困難であるものに対して社会福祉法人等が利用者負担を軽減する場合に助成を行います。</t>
    </r>
    <phoneticPr fontId="24"/>
  </si>
  <si>
    <t>文化・スポーツ</t>
    <rPh sb="0" eb="2">
      <t>ブンカ</t>
    </rPh>
    <phoneticPr fontId="24"/>
  </si>
  <si>
    <t>分野</t>
    <rPh sb="0" eb="2">
      <t>ブンヤ</t>
    </rPh>
    <phoneticPr fontId="24"/>
  </si>
  <si>
    <t>分野ー２</t>
    <rPh sb="0" eb="2">
      <t>ブンヤ</t>
    </rPh>
    <phoneticPr fontId="24"/>
  </si>
  <si>
    <t>１.市民・住民活動等</t>
    <rPh sb="2" eb="4">
      <t>シミン</t>
    </rPh>
    <rPh sb="5" eb="7">
      <t>ジュウミン</t>
    </rPh>
    <rPh sb="7" eb="9">
      <t>カツドウ</t>
    </rPh>
    <rPh sb="9" eb="10">
      <t>トウ</t>
    </rPh>
    <phoneticPr fontId="24"/>
  </si>
  <si>
    <t>２.健康福祉</t>
    <rPh sb="2" eb="4">
      <t>ケンコウ</t>
    </rPh>
    <rPh sb="4" eb="6">
      <t>フクシ</t>
    </rPh>
    <phoneticPr fontId="24"/>
  </si>
  <si>
    <t>３.妊娠・出産・子育て・教育</t>
    <rPh sb="2" eb="4">
      <t>ニンシン</t>
    </rPh>
    <rPh sb="5" eb="7">
      <t>シュッサン</t>
    </rPh>
    <rPh sb="8" eb="10">
      <t>コソダ</t>
    </rPh>
    <rPh sb="12" eb="14">
      <t>キョウイク</t>
    </rPh>
    <phoneticPr fontId="24"/>
  </si>
  <si>
    <t>４.環境</t>
    <rPh sb="2" eb="4">
      <t>カンキョウ</t>
    </rPh>
    <phoneticPr fontId="24"/>
  </si>
  <si>
    <t>５.産業</t>
    <rPh sb="2" eb="4">
      <t>サンギョウ</t>
    </rPh>
    <phoneticPr fontId="24"/>
  </si>
  <si>
    <t>労働・能力開発</t>
    <rPh sb="0" eb="2">
      <t>ロウドウ</t>
    </rPh>
    <rPh sb="3" eb="5">
      <t>ノウリョク</t>
    </rPh>
    <rPh sb="5" eb="7">
      <t>カイハツ</t>
    </rPh>
    <phoneticPr fontId="24"/>
  </si>
  <si>
    <t>農林水産業</t>
    <rPh sb="0" eb="2">
      <t>ノウリン</t>
    </rPh>
    <rPh sb="2" eb="5">
      <t>スイサンギョウ</t>
    </rPh>
    <phoneticPr fontId="24"/>
  </si>
  <si>
    <t>商工業</t>
    <rPh sb="0" eb="3">
      <t>ショウコウギョウ</t>
    </rPh>
    <phoneticPr fontId="24"/>
  </si>
  <si>
    <t>観光関連</t>
    <rPh sb="0" eb="2">
      <t>カンコウ</t>
    </rPh>
    <rPh sb="2" eb="4">
      <t>カンレン</t>
    </rPh>
    <phoneticPr fontId="24"/>
  </si>
  <si>
    <t>６.まちづくり</t>
    <phoneticPr fontId="24"/>
  </si>
  <si>
    <t>６.まちづくり</t>
    <phoneticPr fontId="24"/>
  </si>
  <si>
    <t>６.まちづくり</t>
    <phoneticPr fontId="24"/>
  </si>
  <si>
    <t>６.まちづくり</t>
    <phoneticPr fontId="24"/>
  </si>
  <si>
    <t>６.まちづくり</t>
  </si>
  <si>
    <t>その他まちづくり</t>
    <rPh sb="2" eb="3">
      <t>タ</t>
    </rPh>
    <phoneticPr fontId="24"/>
  </si>
  <si>
    <t>文化・スポーツ</t>
    <rPh sb="0" eb="2">
      <t>ブンカ</t>
    </rPh>
    <phoneticPr fontId="24"/>
  </si>
  <si>
    <t>所属</t>
    <rPh sb="0" eb="2">
      <t>ショゾク</t>
    </rPh>
    <phoneticPr fontId="24"/>
  </si>
  <si>
    <t>https://www.city.ise.mie.jp/kosodate/gyosei/n_josei/1017559.html</t>
  </si>
  <si>
    <t>ワインぶどう生産拡大支援補助金</t>
    <rPh sb="6" eb="8">
      <t>セイサン</t>
    </rPh>
    <rPh sb="8" eb="10">
      <t>カクダイ</t>
    </rPh>
    <rPh sb="10" eb="12">
      <t>シエン</t>
    </rPh>
    <rPh sb="12" eb="15">
      <t>ホジョキン</t>
    </rPh>
    <phoneticPr fontId="2"/>
  </si>
  <si>
    <t>https://www.city.ise.mie.jp/sangyo/nourin/nougyouhojo/1009347/index.html</t>
  </si>
  <si>
    <t>https://www.city.ise.mie.jp/sangyo/nourin/nougyouhojo/1013782.html</t>
  </si>
  <si>
    <t>https://www.city.ise.mie.jp/sangyo/nourin/nougyouhojo/1016361.html</t>
  </si>
  <si>
    <t>　土地改良区、自治会等に対して、土地改良施設の新設、改良、かんがい排水施設の整備、農業用用水管の修理等にかかる費用を補助します。</t>
    <rPh sb="55" eb="57">
      <t>ヒヨウ</t>
    </rPh>
    <phoneticPr fontId="24"/>
  </si>
  <si>
    <t>有害鳥獣防護柵設置費補助金</t>
    <rPh sb="0" eb="2">
      <t>ユウガイ</t>
    </rPh>
    <rPh sb="2" eb="4">
      <t>チョウジュウ</t>
    </rPh>
    <rPh sb="4" eb="7">
      <t>ボウゴサク</t>
    </rPh>
    <rPh sb="7" eb="9">
      <t>セッチ</t>
    </rPh>
    <rPh sb="9" eb="10">
      <t>ヒ</t>
    </rPh>
    <rPh sb="10" eb="13">
      <t>ホジョキン</t>
    </rPh>
    <phoneticPr fontId="2"/>
  </si>
  <si>
    <t>https://www.city.ise.mie.jp/kenkou_fukushi/kenkou/notice/1018596.html</t>
  </si>
  <si>
    <t>https://www.city.ise.mie.jp/bousai_kyukyu/anzen/bouhan/1015456.html</t>
    <phoneticPr fontId="24"/>
  </si>
  <si>
    <t>https://www.city.ise.mie.jp/sangyo/nourin/nougyouhojo/1003114.html</t>
  </si>
  <si>
    <t>農産物等消費推進事業補助金</t>
    <phoneticPr fontId="24"/>
  </si>
  <si>
    <r>
      <rPr>
        <sz val="20"/>
        <color rgb="FF002060"/>
        <rFont val="ＭＳ Ｐゴシック"/>
        <family val="3"/>
        <charset val="128"/>
      </rPr>
      <t xml:space="preserve">地域医療係
</t>
    </r>
    <r>
      <rPr>
        <sz val="24"/>
        <color rgb="FF002060"/>
        <rFont val="メイリオ"/>
        <family val="3"/>
        <charset val="128"/>
      </rPr>
      <t>27-2435</t>
    </r>
    <phoneticPr fontId="24"/>
  </si>
  <si>
    <t>https://www.city.ise.mie.jp/shisei/gappei_shingikai/20th/1018382.html</t>
  </si>
  <si>
    <r>
      <rPr>
        <sz val="20"/>
        <color rgb="FF002060"/>
        <rFont val="ＭＳ Ｐゴシック"/>
        <family val="3"/>
        <charset val="128"/>
      </rPr>
      <t xml:space="preserve">シティプロモーション係
</t>
    </r>
    <r>
      <rPr>
        <sz val="24"/>
        <color rgb="FF002060"/>
        <rFont val="メイリオ"/>
        <family val="3"/>
        <charset val="128"/>
      </rPr>
      <t>21-5510</t>
    </r>
    <rPh sb="10" eb="11">
      <t>カカリ</t>
    </rPh>
    <phoneticPr fontId="2"/>
  </si>
  <si>
    <t>企画調整課</t>
    <phoneticPr fontId="24"/>
  </si>
  <si>
    <t>https://www.city.ise.mie.jp/kurashi/koutsu/anzen/1011668.html</t>
  </si>
  <si>
    <t>令和７年度　伊勢市　補助金等一覧表</t>
    <phoneticPr fontId="24"/>
  </si>
  <si>
    <t>https://www.city.ise.mie.jp/kenkou_fukushi/kaigo/notice/1018100.html</t>
  </si>
  <si>
    <t>https://www.city.ise.mie.jp/sangyo/koyou/roudou/1018506.html</t>
  </si>
  <si>
    <t>経営発展支援事業補助金</t>
    <rPh sb="8" eb="11">
      <t>ホジョキン</t>
    </rPh>
    <phoneticPr fontId="24"/>
  </si>
  <si>
    <t>https://www.city.ise.mie.jp/kosodate/gyosei/hitorioya/1017396.html</t>
  </si>
  <si>
    <t>https://www.city.ise.mie.jp/kenkou_fukushi/kokuho/seido/1011050.html</t>
  </si>
  <si>
    <t>　介護職員初任者研修及び生活援助従事者研修の受講に要した経費の一部を助成します。</t>
    <rPh sb="10" eb="11">
      <t>オヨ</t>
    </rPh>
    <phoneticPr fontId="24"/>
  </si>
  <si>
    <t>　法人が負担した、介護支援専門員及び主任介護支援専門員の資格更新研修の受講に要した経費の一部を助成します。</t>
    <rPh sb="1" eb="3">
      <t>ホウジン</t>
    </rPh>
    <rPh sb="4" eb="6">
      <t>フタン</t>
    </rPh>
    <rPh sb="9" eb="11">
      <t>カイゴ</t>
    </rPh>
    <rPh sb="11" eb="13">
      <t>シエン</t>
    </rPh>
    <rPh sb="13" eb="16">
      <t>センモンイン</t>
    </rPh>
    <rPh sb="16" eb="17">
      <t>オヨ</t>
    </rPh>
    <rPh sb="18" eb="20">
      <t>シュニン</t>
    </rPh>
    <rPh sb="20" eb="22">
      <t>カイゴ</t>
    </rPh>
    <rPh sb="22" eb="24">
      <t>シエン</t>
    </rPh>
    <rPh sb="24" eb="27">
      <t>センモンイン</t>
    </rPh>
    <rPh sb="28" eb="30">
      <t>シカク</t>
    </rPh>
    <rPh sb="30" eb="32">
      <t>コウシン</t>
    </rPh>
    <rPh sb="32" eb="34">
      <t>ケンシュウ</t>
    </rPh>
    <rPh sb="35" eb="37">
      <t>ジュコウ</t>
    </rPh>
    <rPh sb="38" eb="39">
      <t>ヨウ</t>
    </rPh>
    <rPh sb="41" eb="43">
      <t>ケイヒ</t>
    </rPh>
    <rPh sb="44" eb="46">
      <t>イチブ</t>
    </rPh>
    <rPh sb="47" eb="49">
      <t>ジョセイ</t>
    </rPh>
    <phoneticPr fontId="24"/>
  </si>
  <si>
    <t>　介護支援専門員及び主任介護支援専門員の資格取得研修等の受講に要した費用の一部を助成します。</t>
    <rPh sb="1" eb="3">
      <t>カイゴ</t>
    </rPh>
    <rPh sb="3" eb="5">
      <t>シエン</t>
    </rPh>
    <rPh sb="5" eb="8">
      <t>センモンイン</t>
    </rPh>
    <rPh sb="8" eb="9">
      <t>オヨ</t>
    </rPh>
    <rPh sb="10" eb="12">
      <t>シュニン</t>
    </rPh>
    <rPh sb="12" eb="14">
      <t>カイゴ</t>
    </rPh>
    <rPh sb="14" eb="16">
      <t>シエン</t>
    </rPh>
    <rPh sb="16" eb="19">
      <t>センモンイン</t>
    </rPh>
    <rPh sb="20" eb="22">
      <t>シカク</t>
    </rPh>
    <rPh sb="22" eb="24">
      <t>シュトク</t>
    </rPh>
    <rPh sb="24" eb="26">
      <t>ケンシュウ</t>
    </rPh>
    <rPh sb="26" eb="27">
      <t>トウ</t>
    </rPh>
    <rPh sb="28" eb="30">
      <t>ジュコウ</t>
    </rPh>
    <rPh sb="31" eb="32">
      <t>ヨウ</t>
    </rPh>
    <rPh sb="34" eb="36">
      <t>ヒヨウ</t>
    </rPh>
    <rPh sb="37" eb="39">
      <t>イチブ</t>
    </rPh>
    <rPh sb="40" eb="42">
      <t>ジョセイ</t>
    </rPh>
    <phoneticPr fontId="24"/>
  </si>
  <si>
    <t>　自治会等の墓地管理者が管理している共同墓地の環境改善を図るため、墓地内の水汲み場、通路等の整備に対し費用の一部を補助します。</t>
    <phoneticPr fontId="24"/>
  </si>
  <si>
    <t>　ごみ集積所設備を設置、修繕する自治会等に対し、世帯数に応じて定められた補助金限度額内で本体工事費及び環境整備費、修繕費を交付します。</t>
    <phoneticPr fontId="24"/>
  </si>
  <si>
    <r>
      <rPr>
        <sz val="20"/>
        <rFont val="ＭＳ Ｐゴシック"/>
        <family val="3"/>
        <charset val="128"/>
      </rPr>
      <t>　伊勢市内の小学校､幼稚園､保育所、認定こども園の交通安全活動推進団体に対し交付金を交付し､各団体の活動の充実を図り､交通事故のない地域社会を目指します｡</t>
    </r>
    <phoneticPr fontId="24"/>
  </si>
  <si>
    <t>　交通不便地域を解消し、地域住民の生活に必要な交通手段確保のため、乗合タクシー運行事業を運営するまちづくり協議会に対し、費用の一部を補助します。</t>
    <phoneticPr fontId="24"/>
  </si>
  <si>
    <t>　市内自主防災隊及び自治会の資機材、防災備蓄、防災倉庫整備、隊員の研修派遣等への補助及び防災訓練の助成を行います。</t>
    <phoneticPr fontId="24"/>
  </si>
  <si>
    <t>　要支援者等に対する地域住民組織等による買物・掃除・洗濯等の生活援助や集いの場での交流・会食・介護予防を提供する活動に対して補助します。</t>
    <phoneticPr fontId="24"/>
  </si>
  <si>
    <r>
      <t>　福祉有償運送を行う</t>
    </r>
    <r>
      <rPr>
        <sz val="20"/>
        <color rgb="FF002060"/>
        <rFont val="メイリオ"/>
        <family val="3"/>
      </rPr>
      <t>NPO</t>
    </r>
    <r>
      <rPr>
        <sz val="20"/>
        <color rgb="FF002060"/>
        <rFont val="DejaVu Sans"/>
        <family val="2"/>
      </rPr>
      <t>法人等に対して輸送用車両（福祉車両）の購入経費や運転者として必要な講習の受講に要した経費の一部を補助します。</t>
    </r>
    <phoneticPr fontId="24"/>
  </si>
  <si>
    <r>
      <t>　若年末期がん患者の在宅における療養生活を支援するために、在宅</t>
    </r>
    <r>
      <rPr>
        <sz val="20"/>
        <rFont val="ＭＳ Ｐゴシック"/>
        <family val="3"/>
        <charset val="128"/>
      </rPr>
      <t>での生活支援に係るサービス等費用の一部を助成します（他制度利用者は除く）。</t>
    </r>
    <rPh sb="1" eb="3">
      <t>ジャクネン</t>
    </rPh>
    <rPh sb="3" eb="5">
      <t>マッキ</t>
    </rPh>
    <rPh sb="7" eb="9">
      <t>カンジャ</t>
    </rPh>
    <rPh sb="10" eb="12">
      <t>ザイタク</t>
    </rPh>
    <rPh sb="16" eb="18">
      <t>リョウヨウ</t>
    </rPh>
    <rPh sb="18" eb="20">
      <t>セイカツ</t>
    </rPh>
    <rPh sb="21" eb="23">
      <t>シエン</t>
    </rPh>
    <rPh sb="29" eb="31">
      <t>ザイタク</t>
    </rPh>
    <rPh sb="33" eb="35">
      <t>セイカツ</t>
    </rPh>
    <rPh sb="35" eb="37">
      <t>シエン</t>
    </rPh>
    <rPh sb="38" eb="39">
      <t>カカ</t>
    </rPh>
    <rPh sb="44" eb="45">
      <t>トウ</t>
    </rPh>
    <rPh sb="45" eb="47">
      <t>ヒヨウ</t>
    </rPh>
    <rPh sb="48" eb="50">
      <t>イチブ</t>
    </rPh>
    <rPh sb="51" eb="53">
      <t>ジョセイ</t>
    </rPh>
    <rPh sb="60" eb="62">
      <t>リヨウ</t>
    </rPh>
    <rPh sb="62" eb="63">
      <t>シャ</t>
    </rPh>
    <rPh sb="64" eb="65">
      <t>ノゾ</t>
    </rPh>
    <phoneticPr fontId="24"/>
  </si>
  <si>
    <t>　骨髄等ドナー本人及びその者を雇用している市内の事業所に対し助成金を交付します。</t>
    <phoneticPr fontId="24"/>
  </si>
  <si>
    <t>　里帰り等の理由により県外の医療機関で子どもの定期予防接種を受ける場合の接種費用を助成します。</t>
    <phoneticPr fontId="24"/>
  </si>
  <si>
    <t>　５０歳以上の方を対象に、帯状疱疹予防接種を受ける場合に費用の一部を助成します。</t>
    <rPh sb="3" eb="6">
      <t>サイイジョウ</t>
    </rPh>
    <rPh sb="7" eb="8">
      <t>カタ</t>
    </rPh>
    <rPh sb="9" eb="11">
      <t>タイショウ</t>
    </rPh>
    <rPh sb="13" eb="15">
      <t>タイジョウ</t>
    </rPh>
    <rPh sb="15" eb="17">
      <t>ホウシン</t>
    </rPh>
    <phoneticPr fontId="24"/>
  </si>
  <si>
    <t>　就学前の児童を対象に、おたふくかぜ予防接種を受ける場合に費用の一部を助成します。</t>
    <rPh sb="1" eb="4">
      <t>シュウガクマエ</t>
    </rPh>
    <rPh sb="5" eb="7">
      <t>ジドウ</t>
    </rPh>
    <rPh sb="8" eb="10">
      <t>タイショウ</t>
    </rPh>
    <phoneticPr fontId="24"/>
  </si>
  <si>
    <t>　出産・育児の相談に応じる伴走型相談支援と一体的に実施する経済的支援として、妊婦1人につき現金10万円を原則2回に分けて支給します。</t>
    <phoneticPr fontId="24"/>
  </si>
  <si>
    <t>　医師が必要と認めた不妊治療・不育治療を受けられる夫婦に対し、その費用の一部を助成します。</t>
    <phoneticPr fontId="24"/>
  </si>
  <si>
    <t>　保険適用の特定不妊治療と併用して実施された先進的な不妊治療（保険適用外）と保険適用の回数を超えた特定不妊治療を受けられる夫婦に対して費用の一部を助成します。</t>
    <rPh sb="1" eb="3">
      <t>ホケン</t>
    </rPh>
    <rPh sb="3" eb="5">
      <t>テキヨウ</t>
    </rPh>
    <rPh sb="6" eb="8">
      <t>トクテイ</t>
    </rPh>
    <rPh sb="8" eb="10">
      <t>フニン</t>
    </rPh>
    <rPh sb="10" eb="12">
      <t>チリョウ</t>
    </rPh>
    <rPh sb="13" eb="15">
      <t>ヘイヨウ</t>
    </rPh>
    <rPh sb="17" eb="19">
      <t>ジッシ</t>
    </rPh>
    <rPh sb="22" eb="25">
      <t>センシンテキ</t>
    </rPh>
    <rPh sb="26" eb="28">
      <t>フニン</t>
    </rPh>
    <rPh sb="28" eb="30">
      <t>チリョウ</t>
    </rPh>
    <rPh sb="31" eb="33">
      <t>ホケン</t>
    </rPh>
    <rPh sb="33" eb="35">
      <t>テキヨウ</t>
    </rPh>
    <rPh sb="35" eb="36">
      <t>ガイ</t>
    </rPh>
    <rPh sb="38" eb="40">
      <t>ホケン</t>
    </rPh>
    <rPh sb="40" eb="42">
      <t>テキヨウ</t>
    </rPh>
    <rPh sb="43" eb="45">
      <t>カイスウ</t>
    </rPh>
    <rPh sb="46" eb="47">
      <t>コ</t>
    </rPh>
    <rPh sb="49" eb="51">
      <t>トクテイ</t>
    </rPh>
    <rPh sb="51" eb="53">
      <t>フニン</t>
    </rPh>
    <rPh sb="53" eb="55">
      <t>チリョウ</t>
    </rPh>
    <rPh sb="56" eb="57">
      <t>ウ</t>
    </rPh>
    <rPh sb="61" eb="63">
      <t>フウフ</t>
    </rPh>
    <rPh sb="64" eb="65">
      <t>タイ</t>
    </rPh>
    <rPh sb="67" eb="69">
      <t>ヒヨウ</t>
    </rPh>
    <rPh sb="70" eb="72">
      <t>イチブ</t>
    </rPh>
    <rPh sb="73" eb="75">
      <t>ジョセイ</t>
    </rPh>
    <phoneticPr fontId="24"/>
  </si>
  <si>
    <t>　市民税非課税世帯または生活保護世帯に属する方を対象に妊娠に関する経済的負担を軽減するため、費用の助成をします。</t>
    <rPh sb="1" eb="3">
      <t>シミン</t>
    </rPh>
    <rPh sb="3" eb="4">
      <t>ゼイ</t>
    </rPh>
    <rPh sb="4" eb="7">
      <t>ヒカゼイ</t>
    </rPh>
    <rPh sb="7" eb="9">
      <t>セタイ</t>
    </rPh>
    <rPh sb="12" eb="14">
      <t>セイカツ</t>
    </rPh>
    <rPh sb="14" eb="16">
      <t>ホゴ</t>
    </rPh>
    <rPh sb="16" eb="18">
      <t>セタイ</t>
    </rPh>
    <rPh sb="19" eb="20">
      <t>ゾク</t>
    </rPh>
    <rPh sb="22" eb="23">
      <t>カタ</t>
    </rPh>
    <rPh sb="24" eb="26">
      <t>タイショウ</t>
    </rPh>
    <rPh sb="27" eb="29">
      <t>ニンシン</t>
    </rPh>
    <rPh sb="30" eb="31">
      <t>カン</t>
    </rPh>
    <rPh sb="33" eb="36">
      <t>ケイザイテキ</t>
    </rPh>
    <rPh sb="36" eb="38">
      <t>フタン</t>
    </rPh>
    <rPh sb="39" eb="41">
      <t>ケイゲン</t>
    </rPh>
    <rPh sb="46" eb="48">
      <t>ヒヨウ</t>
    </rPh>
    <rPh sb="49" eb="51">
      <t>ジョセイ</t>
    </rPh>
    <phoneticPr fontId="24"/>
  </si>
  <si>
    <r>
      <rPr>
        <sz val="20"/>
        <color rgb="FF002060"/>
        <rFont val="ＭＳ Ｐゴシック"/>
        <family val="3"/>
        <charset val="128"/>
      </rPr>
      <t>　多胎妊婦が妊婦健康診査の</t>
    </r>
    <r>
      <rPr>
        <sz val="20"/>
        <color rgb="FF002060"/>
        <rFont val="DejaVu Sans"/>
        <family val="2"/>
      </rPr>
      <t>14</t>
    </r>
    <r>
      <rPr>
        <sz val="20"/>
        <color rgb="FF002060"/>
        <rFont val="ＭＳ Ｐゴシック"/>
        <family val="3"/>
        <charset val="128"/>
      </rPr>
      <t>回に追加して受診された場合の受診費を助成します。
（１回につき上限</t>
    </r>
    <r>
      <rPr>
        <sz val="20"/>
        <color rgb="FF002060"/>
        <rFont val="DejaVu Sans"/>
        <family val="2"/>
      </rPr>
      <t>5,060</t>
    </r>
    <r>
      <rPr>
        <sz val="20"/>
        <color rgb="FF002060"/>
        <rFont val="ＭＳ Ｐゴシック"/>
        <family val="3"/>
        <charset val="128"/>
      </rPr>
      <t>円　</t>
    </r>
    <r>
      <rPr>
        <sz val="20"/>
        <color rgb="FF002060"/>
        <rFont val="DejaVu Sans"/>
        <family val="2"/>
      </rPr>
      <t>5</t>
    </r>
    <r>
      <rPr>
        <sz val="20"/>
        <color rgb="FF002060"/>
        <rFont val="ＭＳ Ｐゴシック"/>
        <family val="3"/>
        <charset val="128"/>
      </rPr>
      <t>回まで）</t>
    </r>
    <phoneticPr fontId="24"/>
  </si>
  <si>
    <t>　里帰り等の理由により県外の医療機関・助産所で受診された場合の受診費を助成します。</t>
    <phoneticPr fontId="24"/>
  </si>
  <si>
    <r>
      <t>　里帰り等の理由で伊勢地区以外の医療機関や助産所で受診された場合の受診費を助成します。（１回につき上限</t>
    </r>
    <r>
      <rPr>
        <sz val="20"/>
        <color rgb="FF002060"/>
        <rFont val="メイリオ"/>
        <family val="3"/>
        <charset val="128"/>
      </rPr>
      <t>5,000</t>
    </r>
    <r>
      <rPr>
        <sz val="20"/>
        <color rgb="FF002060"/>
        <rFont val="ＭＳ Ｐゴシック"/>
        <family val="3"/>
        <charset val="128"/>
      </rPr>
      <t>円）</t>
    </r>
    <phoneticPr fontId="24"/>
  </si>
  <si>
    <r>
      <rPr>
        <sz val="20"/>
        <color rgb="FF002060"/>
        <rFont val="ＭＳ Ｐゴシック"/>
        <family val="3"/>
        <charset val="128"/>
      </rPr>
      <t>　新生児聴覚スクリーニング検査（再検査も含む）に要した費用を一部助成します。（上限</t>
    </r>
    <r>
      <rPr>
        <sz val="20"/>
        <color rgb="FF002060"/>
        <rFont val="メイリオ"/>
        <family val="3"/>
      </rPr>
      <t>3,000</t>
    </r>
    <r>
      <rPr>
        <sz val="20"/>
        <color rgb="FF002060"/>
        <rFont val="ＭＳ Ｐゴシック"/>
        <family val="3"/>
        <charset val="128"/>
      </rPr>
      <t>円）</t>
    </r>
    <phoneticPr fontId="24"/>
  </si>
  <si>
    <t>　ひとり親家庭の親の就労に必要な資格取得のための受講料の一部を補助します。</t>
    <rPh sb="8" eb="9">
      <t>オヤ</t>
    </rPh>
    <phoneticPr fontId="24"/>
  </si>
  <si>
    <t>　専門的な資格取得を目指すひとり親家庭の親に対し、受講期間中の生活の負担軽減を図るため、給付金を支給します。</t>
    <rPh sb="20" eb="21">
      <t>オヤ</t>
    </rPh>
    <phoneticPr fontId="24"/>
  </si>
  <si>
    <t>　ひとり親家庭の親または児童が高卒認定試験合格のための受講料の一部を補助します。</t>
    <phoneticPr fontId="24"/>
  </si>
  <si>
    <t>　養育費の取り決めに係る公正証書等の作成費用や養育費保証契約に係る保証料を補助します。</t>
    <phoneticPr fontId="24"/>
  </si>
  <si>
    <t>　市民税非課税世帯、就学援助受給世帯等で、中学生を養育する保護者に対し、学習塾の利用に係る費用を助成します。</t>
    <rPh sb="18" eb="19">
      <t>トウ</t>
    </rPh>
    <rPh sb="25" eb="27">
      <t>ヨウイク</t>
    </rPh>
    <rPh sb="29" eb="32">
      <t>ホゴシャ</t>
    </rPh>
    <rPh sb="33" eb="34">
      <t>タイ</t>
    </rPh>
    <phoneticPr fontId="24"/>
  </si>
  <si>
    <t>　ひとり親家庭等を対象に、20歳未満の大学等受験生の大学受験料や模試受験料を補助します。（摸試受験料のみ中学３年生も対象）</t>
    <rPh sb="4" eb="5">
      <t>オヤ</t>
    </rPh>
    <rPh sb="5" eb="7">
      <t>カテイ</t>
    </rPh>
    <rPh sb="7" eb="8">
      <t>トウ</t>
    </rPh>
    <rPh sb="9" eb="11">
      <t>タイショウ</t>
    </rPh>
    <rPh sb="15" eb="18">
      <t>サイミマン</t>
    </rPh>
    <rPh sb="19" eb="21">
      <t>ダイガク</t>
    </rPh>
    <rPh sb="21" eb="22">
      <t>トウ</t>
    </rPh>
    <rPh sb="22" eb="24">
      <t>ジュケン</t>
    </rPh>
    <rPh sb="24" eb="25">
      <t>セイ</t>
    </rPh>
    <rPh sb="26" eb="28">
      <t>ダイガク</t>
    </rPh>
    <rPh sb="28" eb="31">
      <t>ジュケンリョウ</t>
    </rPh>
    <rPh sb="32" eb="34">
      <t>モシ</t>
    </rPh>
    <rPh sb="34" eb="37">
      <t>ジュケンリョウ</t>
    </rPh>
    <rPh sb="38" eb="40">
      <t>ホジョ</t>
    </rPh>
    <rPh sb="45" eb="47">
      <t>モシ</t>
    </rPh>
    <rPh sb="47" eb="50">
      <t>ジュケンリョウ</t>
    </rPh>
    <rPh sb="52" eb="54">
      <t>チュウガク</t>
    </rPh>
    <rPh sb="55" eb="57">
      <t>ネンセイ</t>
    </rPh>
    <rPh sb="58" eb="60">
      <t>タイショウ</t>
    </rPh>
    <phoneticPr fontId="24"/>
  </si>
  <si>
    <t>　高等学校、中等教育学校（後期課程）、高等専門学校、大学（短期大学を含む）、専修学校（高等課程・専門課程）に在学し、経済的な理由により修学が困難な学生等に奨学金を支給し、社会に貢献する有用な人材の育成を図ります。</t>
    <phoneticPr fontId="24"/>
  </si>
  <si>
    <t>　市内在住の小中学生を対象に、対象級の検定料の全額を年１回（申請期間内のみ）補助します。</t>
    <phoneticPr fontId="24"/>
  </si>
  <si>
    <t>　住宅に設置する太陽光発電設備や定置型蓄電池に対して補助金を交付します。</t>
    <phoneticPr fontId="24"/>
  </si>
  <si>
    <t>　中小企業者が実施する温室効果ガス排出量算定及び省エネルギー診断等に対して補助金を交付します。</t>
    <phoneticPr fontId="24"/>
  </si>
  <si>
    <t>　きれいな水環境を保つため、し尿や生活雑排水をきれいにする合併処理浄化槽を設置される方に設置費用の一部を補助します。</t>
    <phoneticPr fontId="24"/>
  </si>
  <si>
    <t>　望まれずに生まれる犬猫を減らすため、犬猫の不妊・去勢手術を行った方に手術費用の一部を助成します。</t>
    <phoneticPr fontId="24"/>
  </si>
  <si>
    <t>　生ごみを自分で処理することを促進し、ごみの減量化を図ることを目的に、家庭用のごみ減量化容器購入者、また、事業所用生ごみ処理機を導入する事業者に、補助金を交付します。</t>
    <phoneticPr fontId="24"/>
  </si>
  <si>
    <t>　新たに従業員を中小企業退職金共済制度または特定退職金共済制度に加入させた中小企業に対し、補助金を交付します。</t>
    <phoneticPr fontId="24"/>
  </si>
  <si>
    <t>　中小企業等が従業員の奨学金を返還した場合に、要した経費の一部を補助します。</t>
    <rPh sb="1" eb="3">
      <t>チュウショウ</t>
    </rPh>
    <rPh sb="3" eb="5">
      <t>キギョウ</t>
    </rPh>
    <rPh sb="5" eb="6">
      <t>トウ</t>
    </rPh>
    <rPh sb="7" eb="10">
      <t>ジュウギョウイン</t>
    </rPh>
    <rPh sb="11" eb="14">
      <t>ショウガクキン</t>
    </rPh>
    <rPh sb="15" eb="17">
      <t>ヘンカン</t>
    </rPh>
    <rPh sb="19" eb="21">
      <t>バアイ</t>
    </rPh>
    <rPh sb="23" eb="24">
      <t>ヨウ</t>
    </rPh>
    <rPh sb="26" eb="28">
      <t>ケイヒ</t>
    </rPh>
    <rPh sb="29" eb="31">
      <t>イチブ</t>
    </rPh>
    <rPh sb="32" eb="34">
      <t>ホジョ</t>
    </rPh>
    <phoneticPr fontId="24"/>
  </si>
  <si>
    <t>　市内で就業かつ居住を開始した方に、奨学金返還額の一部を助成します。
　※就業先決定前の認定が必要です。</t>
    <phoneticPr fontId="24"/>
  </si>
  <si>
    <t>　農産物の産地の強化及び加工品開発等にチャレンジする事業に対して、補助金を交付します。</t>
    <rPh sb="1" eb="4">
      <t>ノウサンブツ</t>
    </rPh>
    <rPh sb="5" eb="7">
      <t>サンチ</t>
    </rPh>
    <rPh sb="8" eb="10">
      <t>キョウカ</t>
    </rPh>
    <rPh sb="10" eb="11">
      <t>オヨ</t>
    </rPh>
    <rPh sb="12" eb="15">
      <t>カコウヒン</t>
    </rPh>
    <rPh sb="15" eb="17">
      <t>カイハツ</t>
    </rPh>
    <rPh sb="17" eb="18">
      <t>トウ</t>
    </rPh>
    <rPh sb="26" eb="28">
      <t>ジギョウ</t>
    </rPh>
    <rPh sb="29" eb="30">
      <t>タイ</t>
    </rPh>
    <rPh sb="33" eb="36">
      <t>ホジョキン</t>
    </rPh>
    <rPh sb="37" eb="39">
      <t>コウフ</t>
    </rPh>
    <phoneticPr fontId="24"/>
  </si>
  <si>
    <t>　農業者等が行う先進的又は地域の特色ある農産物づくりに対する事業に対し、補助金を交付します。</t>
    <phoneticPr fontId="24"/>
  </si>
  <si>
    <t>　市内でワインの原料となるぶどうの栽培を行う農業者等に対し、ワインぶどうの苗木の新規の植え付けを行う事業に対して、補助金を交付します。</t>
    <rPh sb="1" eb="3">
      <t>シナイ</t>
    </rPh>
    <rPh sb="8" eb="10">
      <t>ゲンリョウ</t>
    </rPh>
    <rPh sb="17" eb="19">
      <t>サイバイ</t>
    </rPh>
    <rPh sb="20" eb="21">
      <t>オコナ</t>
    </rPh>
    <rPh sb="22" eb="25">
      <t>ノウギョウシャ</t>
    </rPh>
    <rPh sb="25" eb="26">
      <t>トウ</t>
    </rPh>
    <rPh sb="27" eb="28">
      <t>タイ</t>
    </rPh>
    <rPh sb="37" eb="39">
      <t>ナエギ</t>
    </rPh>
    <rPh sb="40" eb="42">
      <t>シンキ</t>
    </rPh>
    <rPh sb="43" eb="44">
      <t>ウ</t>
    </rPh>
    <rPh sb="45" eb="46">
      <t>ツ</t>
    </rPh>
    <rPh sb="57" eb="60">
      <t>ホジョキン</t>
    </rPh>
    <rPh sb="61" eb="63">
      <t>コウフ</t>
    </rPh>
    <phoneticPr fontId="24"/>
  </si>
  <si>
    <t>　農業者等が行う農業の持続的発展及び農村の振興に結びつく事業に対し、補助金を交付します。</t>
    <phoneticPr fontId="24"/>
  </si>
  <si>
    <t>　農業経営基盤強化資金に係る貸付利子の一部を補給し、効率的かつ安定的な農業経営体の育成を図ります。</t>
    <phoneticPr fontId="24"/>
  </si>
  <si>
    <t>　農業近代化資金に係る貸付利子の一部を補給し、農業用機械・施設の高度化等、農業経営の近代化を図ります。</t>
    <phoneticPr fontId="24"/>
  </si>
  <si>
    <t>　耕作放棄地解消事業を行う農業者等に対し、解消・活用するために必要な草刈や耕起などに対して支援します。</t>
    <phoneticPr fontId="24"/>
  </si>
  <si>
    <t>　農水産物の販売による地産地消の推進等を目的とした農水産業者の行う事業に対し、補助金を交付します。</t>
    <phoneticPr fontId="24"/>
  </si>
  <si>
    <t>　農地中間管理機構を通じた農地の貸付けで、まとまった農地を貸付けた地域や担い手への農地の集積・集約化に協力した農家に対して交付します。</t>
    <phoneticPr fontId="24"/>
  </si>
  <si>
    <t>　認定就農者が、農業経営の早期安定化を目的として実施する農業経営開始関連事業に対し、補助金を交付します。</t>
    <phoneticPr fontId="24"/>
  </si>
  <si>
    <t>　自然災害等による農業収入の減少に備えるため、農業者が加入する農業経営収入保険の保険料の一部を補助します。</t>
    <rPh sb="1" eb="3">
      <t>シゼン</t>
    </rPh>
    <rPh sb="3" eb="5">
      <t>サイガイ</t>
    </rPh>
    <rPh sb="5" eb="6">
      <t>トウ</t>
    </rPh>
    <rPh sb="9" eb="11">
      <t>ノウギョウ</t>
    </rPh>
    <rPh sb="11" eb="13">
      <t>シュウニュウ</t>
    </rPh>
    <rPh sb="14" eb="16">
      <t>ゲンショウ</t>
    </rPh>
    <rPh sb="17" eb="18">
      <t>ソナ</t>
    </rPh>
    <rPh sb="23" eb="26">
      <t>ノウギョウシャ</t>
    </rPh>
    <rPh sb="27" eb="29">
      <t>カニュウ</t>
    </rPh>
    <rPh sb="31" eb="33">
      <t>ノウギョウ</t>
    </rPh>
    <rPh sb="33" eb="35">
      <t>ケイエイ</t>
    </rPh>
    <rPh sb="35" eb="37">
      <t>シュウニュウ</t>
    </rPh>
    <rPh sb="37" eb="39">
      <t>ホケン</t>
    </rPh>
    <rPh sb="40" eb="43">
      <t>ホケンリョウ</t>
    </rPh>
    <rPh sb="44" eb="46">
      <t>イチブ</t>
    </rPh>
    <rPh sb="47" eb="49">
      <t>ホジョ</t>
    </rPh>
    <phoneticPr fontId="24"/>
  </si>
  <si>
    <t>　農業者等の組織が取組む農地法面の草刈や水路の泥上げ、農道・水路等の軽微な補修及び、植栽による景観形成等の共同活動や農業施設の長寿命化のための活動を支援します。</t>
    <phoneticPr fontId="24"/>
  </si>
  <si>
    <t>　市内の農地で農業を営む者に対し、国の補助事業では対応できない農地への有害鳥獣防護柵の設置費用の一部を補助します。</t>
    <rPh sb="1" eb="3">
      <t>シナイ</t>
    </rPh>
    <rPh sb="4" eb="6">
      <t>ノウチ</t>
    </rPh>
    <rPh sb="7" eb="9">
      <t>ノウギョウ</t>
    </rPh>
    <rPh sb="10" eb="11">
      <t>イトナ</t>
    </rPh>
    <rPh sb="12" eb="13">
      <t>モノ</t>
    </rPh>
    <rPh sb="14" eb="15">
      <t>タイ</t>
    </rPh>
    <rPh sb="35" eb="37">
      <t>ユウガイ</t>
    </rPh>
    <rPh sb="37" eb="39">
      <t>チョウジュウ</t>
    </rPh>
    <rPh sb="39" eb="41">
      <t>ボウゴ</t>
    </rPh>
    <rPh sb="43" eb="45">
      <t>セッチ</t>
    </rPh>
    <rPh sb="45" eb="47">
      <t>ヒヨウ</t>
    </rPh>
    <rPh sb="48" eb="50">
      <t>イチブ</t>
    </rPh>
    <rPh sb="51" eb="53">
      <t>ホジョ</t>
    </rPh>
    <phoneticPr fontId="24"/>
  </si>
  <si>
    <t>　経営に係る負担を軽減し、中小企業・小規模企業の持続的発展を促し地域経済の活性化を図るため、市が指定した融資制度について、融資を受けた者に対し、一定条件を満たした場合、融資に係る利子の一部を補助します。</t>
    <phoneticPr fontId="24"/>
  </si>
  <si>
    <t>　市内の商業や商店街の振興を図るため、商業環境の整備やにぎわいの創出に新たに取り組む商業団体等に対し、事業費の一部を補助します。</t>
    <phoneticPr fontId="24"/>
  </si>
  <si>
    <t>　中小製造業関連の事業者または団体の育成を図るため、新製品・新技術の研究開発に係る経費の一部を補助します。</t>
    <phoneticPr fontId="24"/>
  </si>
  <si>
    <t>　伝統工芸品産業の振興・育成を図るため、伝統工芸品産業の再生及び発展につながる事業に要する経費の一部を補助します。</t>
    <phoneticPr fontId="24"/>
  </si>
  <si>
    <t>　本市で創業や第二創業を行う者、又は市外から新たに本市に事業所（本社）を移転しようとする者で、一定条件を満たした場合、創業・移転に係る経費の一部を補助します。</t>
    <phoneticPr fontId="24"/>
  </si>
  <si>
    <t>　創業者の経営健全化を促進し事業の振興発展に資するため、創業・再挑戦アシスト資金の融資を受けた者に対し、一定条件を満たした場合、融資に係る利子の一部を補助します。</t>
    <phoneticPr fontId="24"/>
  </si>
  <si>
    <r>
      <rPr>
        <sz val="20"/>
        <color rgb="FF002060"/>
        <rFont val="ＭＳ Ｐゴシック"/>
        <family val="3"/>
        <charset val="128"/>
      </rPr>
      <t>　市内の概ね</t>
    </r>
    <r>
      <rPr>
        <sz val="20"/>
        <color rgb="FF002060"/>
        <rFont val="DejaVu Sans"/>
        <family val="2"/>
      </rPr>
      <t>1</t>
    </r>
    <r>
      <rPr>
        <sz val="20"/>
        <color rgb="FF002060"/>
        <rFont val="ＭＳ Ｐゴシック"/>
        <family val="3"/>
        <charset val="128"/>
      </rPr>
      <t>年以上、かつ耐震基準を満たす空家をリフォームし、３年以上居住する方、又は売買・貸借する所有者等に対して、工事費用の一部を補助します。</t>
    </r>
    <rPh sb="1" eb="3">
      <t>シナイ</t>
    </rPh>
    <rPh sb="21" eb="23">
      <t>アキヤ</t>
    </rPh>
    <rPh sb="32" eb="37">
      <t>ネンイジョウキョジュウ</t>
    </rPh>
    <rPh sb="39" eb="40">
      <t>カタ</t>
    </rPh>
    <rPh sb="41" eb="42">
      <t>マタ</t>
    </rPh>
    <rPh sb="43" eb="45">
      <t>バイバイ</t>
    </rPh>
    <rPh sb="46" eb="48">
      <t>タイシャク</t>
    </rPh>
    <rPh sb="50" eb="53">
      <t>ショユウシャ</t>
    </rPh>
    <rPh sb="53" eb="54">
      <t>トウ</t>
    </rPh>
    <rPh sb="55" eb="56">
      <t>タイ</t>
    </rPh>
    <rPh sb="59" eb="61">
      <t>コウジ</t>
    </rPh>
    <rPh sb="61" eb="63">
      <t>ヒヨウ</t>
    </rPh>
    <rPh sb="64" eb="66">
      <t>イチブ</t>
    </rPh>
    <rPh sb="67" eb="69">
      <t>ホジョ</t>
    </rPh>
    <phoneticPr fontId="24"/>
  </si>
  <si>
    <r>
      <rPr>
        <sz val="20"/>
        <rFont val="ＭＳ Ｐゴシック"/>
        <family val="3"/>
        <charset val="128"/>
      </rPr>
      <t>　昭和</t>
    </r>
    <r>
      <rPr>
        <sz val="20"/>
        <rFont val="メイリオ"/>
        <family val="3"/>
      </rPr>
      <t>56</t>
    </r>
    <r>
      <rPr>
        <sz val="20"/>
        <rFont val="ＭＳ Ｐゴシック"/>
        <family val="3"/>
        <charset val="128"/>
      </rPr>
      <t>年</t>
    </r>
    <r>
      <rPr>
        <sz val="20"/>
        <rFont val="メイリオ"/>
        <family val="3"/>
      </rPr>
      <t>5</t>
    </r>
    <r>
      <rPr>
        <sz val="20"/>
        <rFont val="ＭＳ Ｐゴシック"/>
        <family val="3"/>
        <charset val="128"/>
      </rPr>
      <t>月</t>
    </r>
    <r>
      <rPr>
        <sz val="20"/>
        <rFont val="メイリオ"/>
        <family val="3"/>
      </rPr>
      <t>31</t>
    </r>
    <r>
      <rPr>
        <sz val="20"/>
        <rFont val="ＭＳ Ｐゴシック"/>
        <family val="3"/>
        <charset val="128"/>
      </rPr>
      <t>日以前に着工された木造住宅を対象に、無料で耐震診断を実施します。（鉄骨造・コンクリート造やプレハブ住宅等は対象外です）</t>
    </r>
    <rPh sb="53" eb="54">
      <t>ゾウ</t>
    </rPh>
    <phoneticPr fontId="24"/>
  </si>
  <si>
    <r>
      <rPr>
        <sz val="20"/>
        <rFont val="ＭＳ Ｐゴシック"/>
        <family val="3"/>
        <charset val="128"/>
      </rPr>
      <t>　耐震診断の結果、「倒壊する可能性が高い」と判定された場合で、耐震補強工事</t>
    </r>
    <r>
      <rPr>
        <sz val="20"/>
        <rFont val="ＭＳ Ｐゴシック"/>
        <family val="3"/>
        <charset val="128"/>
      </rPr>
      <t>、耐震シェルター設置、空家除却工事を実施する際に要した費用の一部を補助します。</t>
    </r>
    <rPh sb="38" eb="40">
      <t>タイシン</t>
    </rPh>
    <rPh sb="45" eb="47">
      <t>セッチ</t>
    </rPh>
    <rPh sb="50" eb="54">
      <t>ジョキャクコウジ</t>
    </rPh>
    <phoneticPr fontId="24"/>
  </si>
  <si>
    <t>　耐震診断の結果、「倒壊する可能性が高い」または「倒壊する可能性がある」と判定された場合で、耐震補強設計書を作成する際に要した費用の一部を補助します。</t>
    <phoneticPr fontId="24"/>
  </si>
  <si>
    <r>
      <t>　道路に面したブロック塀（道路面からの高さが</t>
    </r>
    <r>
      <rPr>
        <sz val="20"/>
        <color rgb="FF002060"/>
        <rFont val="メイリオ"/>
        <family val="3"/>
      </rPr>
      <t>1</t>
    </r>
    <r>
      <rPr>
        <sz val="20"/>
        <color rgb="FF002060"/>
        <rFont val="DejaVu Sans"/>
        <family val="2"/>
      </rPr>
      <t>ｍを超えるもの。お隣との境界にあるブロック塀等は対象外）を壊す際に要した費用の一部を補助します。</t>
    </r>
    <phoneticPr fontId="24"/>
  </si>
  <si>
    <t>　市が管理する狭あいな道路に面した敷地で、道路後退をして市に寄附した場合、分筆に要した測量登記費用等の一部を助成します。</t>
    <phoneticPr fontId="24"/>
  </si>
  <si>
    <t>「空家等対策の推進に関する特別措置法」に基づく特定空家等や「住宅地区改良法」に基づく不良住宅に認定された空家を除却する際に要した工事費用の一部を補助します。</t>
    <phoneticPr fontId="24"/>
  </si>
  <si>
    <r>
      <t>　昭和</t>
    </r>
    <r>
      <rPr>
        <sz val="20"/>
        <color rgb="FF002060"/>
        <rFont val="メイリオ"/>
        <family val="3"/>
      </rPr>
      <t>56</t>
    </r>
    <r>
      <rPr>
        <sz val="20"/>
        <color rgb="FF002060"/>
        <rFont val="DejaVu Sans"/>
        <family val="2"/>
      </rPr>
      <t>年</t>
    </r>
    <r>
      <rPr>
        <sz val="20"/>
        <color rgb="FF002060"/>
        <rFont val="メイリオ"/>
        <family val="3"/>
      </rPr>
      <t>5</t>
    </r>
    <r>
      <rPr>
        <sz val="20"/>
        <color rgb="FF002060"/>
        <rFont val="DejaVu Sans"/>
        <family val="2"/>
      </rPr>
      <t>月</t>
    </r>
    <r>
      <rPr>
        <sz val="20"/>
        <color rgb="FF002060"/>
        <rFont val="メイリオ"/>
        <family val="3"/>
      </rPr>
      <t>31</t>
    </r>
    <r>
      <rPr>
        <sz val="20"/>
        <color rgb="FF002060"/>
        <rFont val="DejaVu Sans"/>
        <family val="2"/>
      </rPr>
      <t>日以前に着工された民間の保育所等が耐震診断を実施する際に要した費用の一部を補助します。</t>
    </r>
    <phoneticPr fontId="24"/>
  </si>
  <si>
    <t>　台風などの大雨により住宅が床上浸水の被害を受けた方に対し、復旧に係る工事費用の一部を補助します。</t>
    <phoneticPr fontId="24"/>
  </si>
  <si>
    <t>　特殊詐欺等の犯罪被害を未然に防止するため、特殊詐欺等被害防止機器の購入費の一部に対し補助金を交付します。</t>
    <phoneticPr fontId="24"/>
  </si>
  <si>
    <t>　地域の活性化・課題解決の新たな事業を行う個人や団体に、クラウドファンディング型ふるさと納税で受けた寄附金を原資に、事業にかかる経費を補助します。</t>
    <phoneticPr fontId="24"/>
  </si>
  <si>
    <t>　伊勢市景観計画において重点地区に指定した地区で景観形成基準に適合した建築物及び工作物の建築等に対して補助金の交付を行います。</t>
    <phoneticPr fontId="24"/>
  </si>
  <si>
    <t>中心市街地都市機能再生事業奨励金</t>
    <phoneticPr fontId="24"/>
  </si>
  <si>
    <t>　伊勢市駅周辺の活性化を図るため、市街地再開発事業等に対して補助金の交付を行います。</t>
    <phoneticPr fontId="24"/>
  </si>
  <si>
    <t>　中心市街地の活性化と新規雇用の促進を図るため、都市機能再生事業に対して都市機能再生奨励金及び雇用奨励金の交付を行います。</t>
    <phoneticPr fontId="24"/>
  </si>
  <si>
    <r>
      <rPr>
        <sz val="20"/>
        <color rgb="FF002060"/>
        <rFont val="ＭＳ Ｐゴシック"/>
        <family val="3"/>
        <charset val="128"/>
      </rPr>
      <t>　</t>
    </r>
    <r>
      <rPr>
        <sz val="20"/>
        <color rgb="FF002060"/>
        <rFont val="DejaVu Sans"/>
        <family val="2"/>
      </rPr>
      <t>40</t>
    </r>
    <r>
      <rPr>
        <sz val="20"/>
        <color rgb="FF002060"/>
        <rFont val="ＭＳ Ｐゴシック"/>
        <family val="3"/>
        <charset val="128"/>
      </rPr>
      <t>歳～74歳までの国保特定健診受診対象者が人間ドック等を受診した場合、健診に要した費用に対し助成金を交付します。</t>
    </r>
    <phoneticPr fontId="24"/>
  </si>
  <si>
    <t>妊娠
・
出産
・
子育て
・
教育</t>
    <phoneticPr fontId="24"/>
  </si>
  <si>
    <r>
      <rPr>
        <sz val="20"/>
        <rFont val="ＭＳ Ｐゴシック"/>
        <family val="3"/>
        <charset val="128"/>
      </rPr>
      <t>　がん治療による外見の変化を補完するウィッグ等の購入費用の２／３を助成します。（上限額</t>
    </r>
    <r>
      <rPr>
        <sz val="20"/>
        <rFont val="メイリオ"/>
        <family val="3"/>
        <charset val="128"/>
      </rPr>
      <t>20,000</t>
    </r>
    <r>
      <rPr>
        <sz val="20"/>
        <rFont val="ＭＳ Ｐゴシック"/>
        <family val="3"/>
        <charset val="128"/>
      </rPr>
      <t>円）</t>
    </r>
    <rPh sb="3" eb="5">
      <t>チリョウ</t>
    </rPh>
    <rPh sb="8" eb="10">
      <t>ガイケン</t>
    </rPh>
    <rPh sb="11" eb="13">
      <t>ヘンカ</t>
    </rPh>
    <rPh sb="14" eb="16">
      <t>ホカン</t>
    </rPh>
    <rPh sb="22" eb="23">
      <t>トウ</t>
    </rPh>
    <rPh sb="24" eb="26">
      <t>コウニュウ</t>
    </rPh>
    <rPh sb="26" eb="28">
      <t>ヒヨウ</t>
    </rPh>
    <rPh sb="33" eb="35">
      <t>ジョセイ</t>
    </rPh>
    <rPh sb="40" eb="42">
      <t>ジョウゲン</t>
    </rPh>
    <rPh sb="42" eb="43">
      <t>ガク</t>
    </rPh>
    <rPh sb="49" eb="50">
      <t>エン</t>
    </rPh>
    <phoneticPr fontId="24"/>
  </si>
  <si>
    <t>https://www.city.ise.mie.jp/machi/community/katsudo/furusato/index.html</t>
  </si>
  <si>
    <t>https://www.city.ise.mie.jp/machi/community/katsudo/1001382.html</t>
  </si>
  <si>
    <t>　自治会が地域の活動拠点として所有し維持管理している集会所の新築・改築・増築・修繕等の経費の一部を補助します。</t>
    <phoneticPr fontId="24"/>
  </si>
  <si>
    <t>　自治総合センターの助成金を財源に、自治会等が行う集会施設の新築やコミュニティ活動備品の整備等を補助します。</t>
    <rPh sb="30" eb="32">
      <t>シンチク</t>
    </rPh>
    <phoneticPr fontId="24"/>
  </si>
  <si>
    <t>https://www.city.ise.mie.jp/machi/community/katsudo/1018553.html</t>
  </si>
  <si>
    <t>https://www.city.ise.mie.jp/kenkou_fukushi/syougai/syuwa/1005511.html</t>
  </si>
  <si>
    <t>https://www.city.ise.mie.jp/kenkou_fukushi/syougai/shien/1016235.html</t>
  </si>
  <si>
    <t>　安全で安心なまちづくりを推進するため、防犯対策の一環として、自治会が実施する防犯カメラの整備等に要する経費に対して予算の範囲内で補助します。</t>
    <rPh sb="31" eb="34">
      <t>ジチカイ</t>
    </rPh>
    <rPh sb="35" eb="37">
      <t>ジッシ</t>
    </rPh>
    <rPh sb="45" eb="47">
      <t>セイビ</t>
    </rPh>
    <rPh sb="47" eb="48">
      <t>トウ</t>
    </rPh>
    <rPh sb="49" eb="50">
      <t>ヨウ</t>
    </rPh>
    <rPh sb="52" eb="54">
      <t>ケイヒ</t>
    </rPh>
    <rPh sb="55" eb="56">
      <t>タイ</t>
    </rPh>
    <rPh sb="58" eb="60">
      <t>ヨサン</t>
    </rPh>
    <rPh sb="61" eb="64">
      <t>ハンイナイ</t>
    </rPh>
    <rPh sb="65" eb="67">
      <t>ホジョ</t>
    </rPh>
    <phoneticPr fontId="24"/>
  </si>
  <si>
    <t>https://www.city.ise.mie.jp/kosodate/gyosei/k_josei/1013768/index.html</t>
    <phoneticPr fontId="24"/>
  </si>
  <si>
    <t>若者地元就職応援奨学金返還支援補助金</t>
    <phoneticPr fontId="24"/>
  </si>
  <si>
    <t>　次世代を担う農業者となることを志向する青年就農者に対して、経営の不安定な就農初期段階を支援するため、補助金を交付します。　</t>
    <rPh sb="44" eb="46">
      <t>シエン</t>
    </rPh>
    <phoneticPr fontId="24"/>
  </si>
  <si>
    <t>　「地域計画」に位置づけられた中心経営体等が融資を受け農業用機械・施設を導入する際の融資残について支援します。</t>
    <rPh sb="2" eb="4">
      <t>チイキ</t>
    </rPh>
    <rPh sb="4" eb="6">
      <t>ケイカク</t>
    </rPh>
    <rPh sb="20" eb="21">
      <t>トウ</t>
    </rPh>
    <phoneticPr fontId="24"/>
  </si>
  <si>
    <t>　市内で開催される県大会以上の規模の各種学会やスポーツ大会、または文化・スポーツ合宿の参加者が市内で宿泊する費用に対し、補助金を交付します。</t>
    <phoneticPr fontId="24"/>
  </si>
  <si>
    <t>　市内の計画相談支援事業所に従事又は従事予定の者が相談支援従事者初任者研修を受講した場合に、その受講料を助成します。</t>
    <phoneticPr fontId="24"/>
  </si>
  <si>
    <r>
      <rPr>
        <sz val="20"/>
        <color rgb="FF002060"/>
        <rFont val="ＭＳ Ｐゴシック"/>
        <family val="3"/>
        <charset val="128"/>
      </rPr>
      <t xml:space="preserve">防犯係
</t>
    </r>
    <r>
      <rPr>
        <sz val="24"/>
        <color rgb="FF002060"/>
        <rFont val="メイリオ"/>
        <family val="3"/>
        <charset val="128"/>
      </rPr>
      <t>21-5524</t>
    </r>
    <phoneticPr fontId="24"/>
  </si>
  <si>
    <r>
      <rPr>
        <sz val="20"/>
        <color rgb="FF002060"/>
        <rFont val="ＭＳ Ｐゴシック"/>
        <family val="3"/>
        <charset val="128"/>
      </rPr>
      <t xml:space="preserve">防犯係
</t>
    </r>
    <r>
      <rPr>
        <sz val="20"/>
        <color rgb="FF002060"/>
        <rFont val="DejaVu Sans"/>
        <family val="2"/>
      </rPr>
      <t>21-5524</t>
    </r>
    <phoneticPr fontId="24"/>
  </si>
  <si>
    <t>危機管理課</t>
    <phoneticPr fontId="24"/>
  </si>
  <si>
    <t>危機管理課</t>
    <phoneticPr fontId="24"/>
  </si>
  <si>
    <t>賞賜金</t>
    <rPh sb="0" eb="1">
      <t>ショウ</t>
    </rPh>
    <rPh sb="1" eb="2">
      <t>タマワ</t>
    </rPh>
    <rPh sb="2" eb="3">
      <t>キン</t>
    </rPh>
    <phoneticPr fontId="24"/>
  </si>
  <si>
    <t>https://www.city.ise.mie.jp/kurashi/gomi/hojo/1001465.html</t>
    <phoneticPr fontId="24"/>
  </si>
  <si>
    <r>
      <rPr>
        <sz val="20"/>
        <color rgb="FF002060"/>
        <rFont val="ＭＳ Ｐゴシック"/>
        <family val="3"/>
        <charset val="128"/>
      </rPr>
      <t>　廃品回収（紙類（新聞、雑誌・雑がみ類、段ボール、飲料用紙パック）、布類、スチール缶、アルミ缶、リターナブルびん）を実施する自治会、</t>
    </r>
    <r>
      <rPr>
        <sz val="20"/>
        <color rgb="FF002060"/>
        <rFont val="DejaVu Sans"/>
      </rPr>
      <t>PTA</t>
    </r>
    <r>
      <rPr>
        <sz val="20"/>
        <color rgb="FF002060"/>
        <rFont val="ＭＳ Ｐゴシック"/>
        <family val="3"/>
        <charset val="128"/>
      </rPr>
      <t>、子供会などの営利を目的としない団体に対し、奨励金を交付します。</t>
    </r>
    <phoneticPr fontId="24"/>
  </si>
  <si>
    <t>高齢・障がい
福祉課</t>
    <phoneticPr fontId="24"/>
  </si>
  <si>
    <t>高齢・障がい
福祉課</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</si>
</sst>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rgb="FF000000"/>
      <name val="ＭＳ Ｐゴシック"/>
      <family val="2"/>
    </font>
    <font>
      <sz val="20"/>
      <name val="メイリオ"/>
      <family val="3"/>
    </font>
    <font>
      <sz val="20"/>
      <color rgb="FFFF0000"/>
      <name val="メイリオ"/>
      <family val="3"/>
    </font>
    <font>
      <sz val="14"/>
      <color rgb="FFFF0000"/>
      <name val="メイリオ"/>
      <family val="3"/>
    </font>
    <font>
      <sz val="11"/>
      <color rgb="FFFF0000"/>
      <name val="メイリオ"/>
      <family val="3"/>
    </font>
    <font>
      <sz val="16"/>
      <color rgb="FFFF0000"/>
      <name val="メイリオ"/>
      <family val="3"/>
    </font>
    <font>
      <b/>
      <sz val="36"/>
      <color rgb="FF0000FF"/>
      <name val="DejaVu Sans"/>
      <family val="2"/>
    </font>
    <font>
      <b/>
      <sz val="26"/>
      <name val="DejaVu Sans"/>
      <family val="2"/>
    </font>
    <font>
      <b/>
      <sz val="20"/>
      <name val="メイリオ"/>
      <family val="3"/>
    </font>
    <font>
      <b/>
      <sz val="24"/>
      <name val="DejaVu Sans"/>
      <family val="2"/>
    </font>
    <font>
      <b/>
      <sz val="22"/>
      <name val="DejaVu Sans"/>
      <family val="2"/>
    </font>
    <font>
      <b/>
      <sz val="22"/>
      <color rgb="FF0070C0"/>
      <name val="DejaVu Sans"/>
      <family val="2"/>
    </font>
    <font>
      <b/>
      <sz val="22"/>
      <color rgb="FF0070C0"/>
      <name val="メイリオ"/>
      <family val="3"/>
    </font>
    <font>
      <b/>
      <sz val="24"/>
      <name val="メイリオ"/>
      <family val="3"/>
    </font>
    <font>
      <b/>
      <sz val="22"/>
      <color rgb="FF0000FF"/>
      <name val="DejaVu Sans"/>
      <family val="2"/>
    </font>
    <font>
      <sz val="20"/>
      <color rgb="FF002060"/>
      <name val="DejaVu Sans"/>
      <family val="2"/>
    </font>
    <font>
      <sz val="21"/>
      <color rgb="FF002060"/>
      <name val="DejaVu Sans"/>
      <family val="2"/>
    </font>
    <font>
      <sz val="24"/>
      <color rgb="FF002060"/>
      <name val="メイリオ"/>
      <family val="3"/>
    </font>
    <font>
      <sz val="12"/>
      <color rgb="FFFF0000"/>
      <name val="メイリオ"/>
      <family val="3"/>
    </font>
    <font>
      <sz val="24"/>
      <color rgb="FF002060"/>
      <name val="DejaVu Sans"/>
      <family val="2"/>
    </font>
    <font>
      <b/>
      <sz val="12"/>
      <color rgb="FFFF0000"/>
      <name val="メイリオ"/>
      <family val="3"/>
    </font>
    <font>
      <u/>
      <sz val="8.25"/>
      <color rgb="FF0000FF"/>
      <name val="ＭＳ Ｐゴシック"/>
      <family val="3"/>
    </font>
    <font>
      <sz val="20"/>
      <color rgb="FF002060"/>
      <name val="メイリオ"/>
      <family val="3"/>
    </font>
    <font>
      <sz val="20"/>
      <name val="DejaVu Sans"/>
      <family val="2"/>
    </font>
    <font>
      <sz val="6"/>
      <name val="ＭＳ Ｐゴシック"/>
      <family val="3"/>
      <charset val="128"/>
    </font>
    <font>
      <sz val="20"/>
      <color rgb="FF002060"/>
      <name val="ＭＳ Ｐゴシック"/>
      <family val="3"/>
      <charset val="128"/>
    </font>
    <font>
      <sz val="20"/>
      <name val="ＭＳ Ｐゴシック"/>
      <family val="3"/>
      <charset val="128"/>
    </font>
    <font>
      <b/>
      <sz val="22"/>
      <color rgb="FF0000FF"/>
      <name val="ＭＳ Ｐゴシック"/>
      <family val="3"/>
      <charset val="128"/>
    </font>
    <font>
      <sz val="20"/>
      <color rgb="FF002060"/>
      <name val="メイリオ"/>
      <family val="3"/>
      <charset val="128"/>
    </font>
    <font>
      <b/>
      <sz val="36"/>
      <color rgb="FF0000FF"/>
      <name val="ＭＳ Ｐゴシック"/>
      <family val="3"/>
      <charset val="128"/>
    </font>
    <font>
      <b/>
      <sz val="24"/>
      <name val="ＭＳ Ｐゴシック"/>
      <family val="3"/>
      <charset val="128"/>
    </font>
    <font>
      <sz val="21"/>
      <name val="ＭＳ Ｐゴシック"/>
      <family val="3"/>
      <charset val="128"/>
    </font>
    <font>
      <sz val="24"/>
      <name val="メイリオ"/>
      <family val="3"/>
    </font>
    <font>
      <sz val="20"/>
      <color rgb="FF0000FF"/>
      <name val="メイリオ"/>
      <family val="3"/>
    </font>
    <font>
      <sz val="21"/>
      <color rgb="FF002060"/>
      <name val="ＭＳ Ｐゴシック"/>
      <family val="3"/>
      <charset val="128"/>
    </font>
    <font>
      <sz val="20"/>
      <color rgb="FF002060"/>
      <name val="DejaVu Sans"/>
    </font>
    <font>
      <sz val="24"/>
      <color rgb="FF002060"/>
      <name val="メイリオ"/>
      <family val="3"/>
      <charset val="128"/>
    </font>
    <font>
      <b/>
      <sz val="26"/>
      <color rgb="FF0000FF"/>
      <name val="メイリオ"/>
      <family val="3"/>
    </font>
    <font>
      <sz val="11"/>
      <color rgb="FF0000FF"/>
      <name val="ＭＳ Ｐゴシック"/>
      <family val="2"/>
    </font>
    <font>
      <sz val="11"/>
      <color rgb="FF0000FF"/>
      <name val="メイリオ"/>
      <family val="3"/>
    </font>
    <font>
      <sz val="6"/>
      <name val="ＭＳ Ｐゴシック"/>
      <family val="3"/>
    </font>
    <font>
      <sz val="20"/>
      <name val="ＭＳ Ｐゴシック"/>
      <family val="3"/>
    </font>
    <font>
      <sz val="24"/>
      <name val="メイリオ"/>
      <family val="3"/>
      <charset val="128"/>
    </font>
    <font>
      <sz val="20"/>
      <name val="DejaVu Sans"/>
    </font>
    <font>
      <sz val="11"/>
      <name val="ＭＳ Ｐゴシック"/>
      <family val="2"/>
    </font>
    <font>
      <b/>
      <sz val="22"/>
      <name val="ＭＳ Ｐゴシック"/>
      <family val="3"/>
      <charset val="128"/>
    </font>
    <font>
      <sz val="11"/>
      <name val="メイリオ"/>
      <family val="3"/>
    </font>
    <font>
      <b/>
      <u/>
      <sz val="22"/>
      <color rgb="FF0000FF"/>
      <name val="メイリオ"/>
      <family val="3"/>
      <charset val="128"/>
    </font>
    <font>
      <sz val="20"/>
      <color theme="1"/>
      <name val="ＭＳ Ｐゴシック"/>
      <family val="2"/>
    </font>
    <font>
      <b/>
      <sz val="20"/>
      <color theme="1"/>
      <name val="DejaVu Sans"/>
      <family val="2"/>
    </font>
    <font>
      <sz val="20"/>
      <color theme="1"/>
      <name val="メイリオ"/>
      <family val="3"/>
    </font>
    <font>
      <sz val="14"/>
      <color rgb="FF002060"/>
      <name val="メイリオ"/>
      <family val="3"/>
      <charset val="128"/>
    </font>
    <font>
      <b/>
      <sz val="14"/>
      <color rgb="FF002060"/>
      <name val="メイリオ"/>
      <family val="3"/>
      <charset val="128"/>
    </font>
    <font>
      <sz val="20"/>
      <name val="メイリオ"/>
      <family val="3"/>
      <charset val="128"/>
    </font>
  </fonts>
  <fills count="7">
    <fill>
      <patternFill patternType="none"/>
    </fill>
    <fill>
      <patternFill patternType="gray125"/>
    </fill>
    <fill>
      <patternFill patternType="solid">
        <fgColor rgb="FFFDEADA"/>
        <bgColor rgb="FFFFFFFF"/>
      </patternFill>
    </fill>
    <fill>
      <patternFill patternType="solid">
        <fgColor theme="5" tint="0.79998168889431442"/>
        <bgColor indexed="64"/>
      </patternFill>
    </fill>
    <fill>
      <patternFill patternType="solid">
        <fgColor theme="4" tint="0.79998168889431442"/>
        <bgColor rgb="FFFFFFFF"/>
      </patternFill>
    </fill>
    <fill>
      <patternFill patternType="solid">
        <fgColor theme="4" tint="0.79998168889431442"/>
        <bgColor indexed="64"/>
      </patternFill>
    </fill>
    <fill>
      <patternFill patternType="solid">
        <fgColor rgb="FFFFFF99"/>
        <bgColor indexed="64"/>
      </patternFill>
    </fill>
  </fills>
  <borders count="77">
    <border>
      <left/>
      <right/>
      <top/>
      <bottom/>
      <diagonal/>
    </border>
    <border>
      <left/>
      <right style="hair">
        <color auto="1"/>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hair">
        <color auto="1"/>
      </bottom>
      <diagonal/>
    </border>
    <border>
      <left/>
      <right style="hair">
        <color auto="1"/>
      </right>
      <top style="medium">
        <color auto="1"/>
      </top>
      <bottom/>
      <diagonal/>
    </border>
    <border>
      <left/>
      <right style="thin">
        <color auto="1"/>
      </right>
      <top style="medium">
        <color auto="1"/>
      </top>
      <bottom style="hair">
        <color auto="1"/>
      </bottom>
      <diagonal/>
    </border>
    <border>
      <left/>
      <right style="medium">
        <color auto="1"/>
      </right>
      <top style="medium">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style="hair">
        <color auto="1"/>
      </right>
      <top style="thin">
        <color auto="1"/>
      </top>
      <bottom/>
      <diagonal/>
    </border>
    <border>
      <left style="thin">
        <color auto="1"/>
      </left>
      <right style="hair">
        <color auto="1"/>
      </right>
      <top style="thin">
        <color auto="1"/>
      </top>
      <bottom/>
      <diagonal/>
    </border>
    <border>
      <left style="hair">
        <color auto="1"/>
      </left>
      <right style="medium">
        <color auto="1"/>
      </right>
      <top style="thin">
        <color auto="1"/>
      </top>
      <bottom style="thin">
        <color auto="1"/>
      </bottom>
      <diagonal/>
    </border>
    <border>
      <left style="thin">
        <color auto="1"/>
      </left>
      <right style="hair">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top style="thin">
        <color auto="1"/>
      </top>
      <bottom style="hair">
        <color auto="1"/>
      </bottom>
      <diagonal/>
    </border>
    <border>
      <left style="thin">
        <color auto="1"/>
      </left>
      <right/>
      <top/>
      <bottom/>
      <diagonal/>
    </border>
    <border>
      <left/>
      <right style="hair">
        <color auto="1"/>
      </right>
      <top/>
      <bottom style="hair">
        <color auto="1"/>
      </bottom>
      <diagonal/>
    </border>
    <border>
      <left/>
      <right style="hair">
        <color auto="1"/>
      </right>
      <top style="thin">
        <color auto="1"/>
      </top>
      <bottom style="hair">
        <color auto="1"/>
      </bottom>
      <diagonal/>
    </border>
    <border>
      <left style="thin">
        <color auto="1"/>
      </left>
      <right/>
      <top/>
      <bottom style="hair">
        <color auto="1"/>
      </bottom>
      <diagonal/>
    </border>
    <border>
      <left style="thin">
        <color auto="1"/>
      </left>
      <right/>
      <top style="hair">
        <color auto="1"/>
      </top>
      <bottom/>
      <diagonal/>
    </border>
    <border>
      <left style="hair">
        <color auto="1"/>
      </left>
      <right style="medium">
        <color auto="1"/>
      </right>
      <top style="thin">
        <color auto="1"/>
      </top>
      <bottom/>
      <diagonal/>
    </border>
    <border>
      <left style="thin">
        <color auto="1"/>
      </left>
      <right/>
      <top/>
      <bottom style="medium">
        <color auto="1"/>
      </bottom>
      <diagonal/>
    </border>
    <border>
      <left style="thin">
        <color auto="1"/>
      </left>
      <right style="hair">
        <color auto="1"/>
      </right>
      <top/>
      <bottom/>
      <diagonal/>
    </border>
    <border>
      <left style="thin">
        <color auto="1"/>
      </left>
      <right style="hair">
        <color auto="1"/>
      </right>
      <top/>
      <bottom style="medium">
        <color auto="1"/>
      </bottom>
      <diagonal/>
    </border>
    <border>
      <left style="hair">
        <color auto="1"/>
      </left>
      <right style="medium">
        <color auto="1"/>
      </right>
      <top/>
      <bottom/>
      <diagonal/>
    </border>
    <border>
      <left style="hair">
        <color auto="1"/>
      </left>
      <right style="medium">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style="medium">
        <color auto="1"/>
      </left>
      <right style="hair">
        <color auto="1"/>
      </right>
      <top style="thin">
        <color auto="1"/>
      </top>
      <bottom/>
      <diagonal/>
    </border>
    <border>
      <left style="medium">
        <color auto="1"/>
      </left>
      <right style="hair">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right style="thin">
        <color auto="1"/>
      </right>
      <top style="medium">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right/>
      <top style="hair">
        <color auto="1"/>
      </top>
      <bottom style="thin">
        <color auto="1"/>
      </bottom>
      <diagonal/>
    </border>
    <border>
      <left style="hair">
        <color auto="1"/>
      </left>
      <right/>
      <top style="thin">
        <color auto="1"/>
      </top>
      <bottom style="hair">
        <color auto="1"/>
      </bottom>
      <diagonal/>
    </border>
    <border>
      <left/>
      <right/>
      <top/>
      <bottom style="hair">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top style="medium">
        <color auto="1"/>
      </top>
      <bottom/>
      <diagonal/>
    </border>
    <border>
      <left style="hair">
        <color auto="1"/>
      </left>
      <right/>
      <top style="thin">
        <color auto="1"/>
      </top>
      <bottom/>
      <diagonal/>
    </border>
    <border>
      <left/>
      <right style="thin">
        <color auto="1"/>
      </right>
      <top style="thin">
        <color auto="1"/>
      </top>
      <bottom/>
      <diagonal/>
    </border>
    <border>
      <left style="hair">
        <color auto="1"/>
      </left>
      <right/>
      <top/>
      <bottom/>
      <diagonal/>
    </border>
    <border>
      <left/>
      <right style="thin">
        <color auto="1"/>
      </right>
      <top/>
      <bottom/>
      <diagonal/>
    </border>
    <border>
      <left style="hair">
        <color auto="1"/>
      </left>
      <right/>
      <top/>
      <bottom style="medium">
        <color auto="1"/>
      </bottom>
      <diagonal/>
    </border>
    <border>
      <left/>
      <right style="thin">
        <color auto="1"/>
      </right>
      <top/>
      <bottom style="medium">
        <color auto="1"/>
      </bottom>
      <diagonal/>
    </border>
    <border>
      <left style="medium">
        <color auto="1"/>
      </left>
      <right style="hair">
        <color auto="1"/>
      </right>
      <top/>
      <bottom style="medium">
        <color auto="1"/>
      </bottom>
      <diagonal/>
    </border>
    <border>
      <left style="thin">
        <color auto="1"/>
      </left>
      <right/>
      <top style="thin">
        <color auto="1"/>
      </top>
      <bottom style="thin">
        <color auto="1"/>
      </bottom>
      <diagonal/>
    </border>
    <border>
      <left style="hair">
        <color auto="1"/>
      </left>
      <right style="medium">
        <color auto="1"/>
      </right>
      <top/>
      <bottom style="medium">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style="thin">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style="hair">
        <color auto="1"/>
      </left>
      <right/>
      <top style="medium">
        <color auto="1"/>
      </top>
      <bottom/>
      <diagonal/>
    </border>
    <border>
      <left style="thin">
        <color auto="1"/>
      </left>
      <right/>
      <top style="thin">
        <color auto="1"/>
      </top>
      <bottom/>
      <diagonal/>
    </border>
    <border>
      <left/>
      <right style="medium">
        <color auto="1"/>
      </right>
      <top style="thin">
        <color auto="1"/>
      </top>
      <bottom style="medium">
        <color auto="1"/>
      </bottom>
      <diagonal/>
    </border>
    <border>
      <left style="medium">
        <color auto="1"/>
      </left>
      <right style="hair">
        <color auto="1"/>
      </right>
      <top/>
      <bottom style="thin">
        <color auto="1"/>
      </bottom>
      <diagonal/>
    </border>
    <border>
      <left/>
      <right/>
      <top style="hair">
        <color auto="1"/>
      </top>
      <bottom/>
      <diagonal/>
    </border>
    <border>
      <left/>
      <right style="thin">
        <color auto="1"/>
      </right>
      <top style="hair">
        <color auto="1"/>
      </top>
      <bottom/>
      <diagonal/>
    </border>
    <border>
      <left/>
      <right/>
      <top style="medium">
        <color auto="1"/>
      </top>
      <bottom style="hair">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thin">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s>
  <cellStyleXfs count="2">
    <xf numFmtId="0" fontId="0" fillId="0" borderId="0">
      <alignment vertical="center"/>
    </xf>
    <xf numFmtId="0" fontId="21" fillId="0" borderId="0" applyBorder="0" applyProtection="0">
      <alignment vertical="center"/>
    </xf>
  </cellStyleXfs>
  <cellXfs count="203">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8" fillId="0" borderId="0" xfId="0" applyFont="1" applyAlignment="1">
      <alignment horizontal="center" vertical="center"/>
    </xf>
    <xf numFmtId="0" fontId="18" fillId="0" borderId="0" xfId="0" applyFont="1">
      <alignment vertical="center"/>
    </xf>
    <xf numFmtId="0" fontId="20" fillId="0" borderId="0" xfId="0" applyFont="1">
      <alignment vertical="center"/>
    </xf>
    <xf numFmtId="0" fontId="2" fillId="0" borderId="9" xfId="0" applyFont="1" applyFill="1" applyBorder="1" applyAlignment="1">
      <alignment horizontal="center" vertical="center"/>
    </xf>
    <xf numFmtId="0" fontId="14" fillId="0" borderId="10" xfId="0" applyFont="1" applyFill="1" applyBorder="1">
      <alignment vertical="center"/>
    </xf>
    <xf numFmtId="0" fontId="5" fillId="0" borderId="7" xfId="0" applyFont="1" applyFill="1" applyBorder="1" applyAlignment="1">
      <alignment vertical="center" wrapText="1"/>
    </xf>
    <xf numFmtId="0" fontId="5" fillId="0" borderId="15" xfId="0" applyFont="1" applyFill="1" applyBorder="1" applyAlignment="1">
      <alignment horizontal="center" vertical="center"/>
    </xf>
    <xf numFmtId="0" fontId="5" fillId="0" borderId="9" xfId="0" applyFont="1" applyFill="1" applyBorder="1" applyAlignment="1">
      <alignment horizontal="center" vertical="center"/>
    </xf>
    <xf numFmtId="0" fontId="14" fillId="0" borderId="16" xfId="0" applyFont="1" applyFill="1" applyBorder="1" applyAlignment="1">
      <alignment vertical="center" wrapText="1"/>
    </xf>
    <xf numFmtId="0" fontId="5" fillId="0" borderId="17" xfId="0" applyFont="1" applyFill="1" applyBorder="1" applyAlignment="1">
      <alignment horizontal="center" vertical="center"/>
    </xf>
    <xf numFmtId="0" fontId="14" fillId="0" borderId="18" xfId="0" applyFont="1" applyFill="1" applyBorder="1">
      <alignment vertical="center"/>
    </xf>
    <xf numFmtId="0" fontId="14" fillId="0" borderId="0" xfId="1" applyFont="1" applyFill="1" applyBorder="1" applyAlignment="1" applyProtection="1">
      <alignment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14" fillId="0" borderId="19" xfId="0" applyFont="1" applyFill="1" applyBorder="1">
      <alignment vertical="center"/>
    </xf>
    <xf numFmtId="0" fontId="14" fillId="0" borderId="19" xfId="0" applyFont="1" applyFill="1" applyBorder="1" applyProtection="1">
      <alignment vertical="center"/>
    </xf>
    <xf numFmtId="0" fontId="14" fillId="0" borderId="18" xfId="0" applyFont="1" applyFill="1" applyBorder="1" applyProtection="1">
      <alignment vertical="center"/>
    </xf>
    <xf numFmtId="0" fontId="5" fillId="0" borderId="23" xfId="0" applyFont="1" applyFill="1" applyBorder="1" applyAlignment="1">
      <alignment horizontal="center" vertical="center"/>
    </xf>
    <xf numFmtId="0" fontId="0" fillId="0" borderId="0" xfId="0" applyFill="1">
      <alignment vertical="center"/>
    </xf>
    <xf numFmtId="0" fontId="5" fillId="0" borderId="20" xfId="0" applyFont="1" applyFill="1" applyBorder="1" applyAlignment="1">
      <alignment horizontal="center" vertical="center"/>
    </xf>
    <xf numFmtId="0" fontId="2" fillId="0" borderId="0" xfId="0" applyFont="1" applyFill="1">
      <alignment vertical="center"/>
    </xf>
    <xf numFmtId="0" fontId="8" fillId="3" borderId="3" xfId="0" applyFont="1" applyFill="1" applyBorder="1" applyAlignment="1">
      <alignment horizontal="center" vertical="center"/>
    </xf>
    <xf numFmtId="0" fontId="8" fillId="3" borderId="7" xfId="0" applyFont="1" applyFill="1" applyBorder="1" applyAlignment="1">
      <alignment horizontal="center" vertical="center"/>
    </xf>
    <xf numFmtId="0" fontId="5" fillId="0" borderId="0" xfId="0" applyFont="1" applyFill="1" applyAlignment="1">
      <alignment horizontal="left" vertical="center" indent="4"/>
    </xf>
    <xf numFmtId="0" fontId="27" fillId="0" borderId="18" xfId="0" applyFont="1" applyFill="1" applyBorder="1">
      <alignment vertical="center"/>
    </xf>
    <xf numFmtId="0" fontId="33" fillId="0" borderId="9" xfId="0" applyFont="1" applyFill="1" applyBorder="1" applyAlignment="1">
      <alignment horizontal="center" vertical="center"/>
    </xf>
    <xf numFmtId="0" fontId="37" fillId="0" borderId="0" xfId="0" applyFont="1" applyAlignment="1">
      <alignment horizontal="center"/>
    </xf>
    <xf numFmtId="0" fontId="38" fillId="0" borderId="0" xfId="0" applyFont="1">
      <alignment vertical="center"/>
    </xf>
    <xf numFmtId="0" fontId="39" fillId="0" borderId="0" xfId="0" applyFont="1">
      <alignment vertical="center"/>
    </xf>
    <xf numFmtId="0" fontId="27" fillId="0" borderId="19" xfId="0" applyFont="1" applyFill="1" applyBorder="1" applyProtection="1">
      <alignment vertical="center"/>
    </xf>
    <xf numFmtId="0" fontId="15" fillId="0" borderId="41" xfId="0" applyFont="1" applyFill="1" applyBorder="1" applyAlignment="1">
      <alignment horizontal="center" vertical="center"/>
    </xf>
    <xf numFmtId="0" fontId="25" fillId="0" borderId="0" xfId="0" applyFont="1" applyFill="1" applyBorder="1" applyAlignment="1">
      <alignment horizontal="center" vertical="center" wrapText="1"/>
    </xf>
    <xf numFmtId="0" fontId="25" fillId="0" borderId="41" xfId="0" applyFont="1" applyFill="1" applyBorder="1" applyAlignment="1">
      <alignment horizontal="center" vertical="center"/>
    </xf>
    <xf numFmtId="0" fontId="15" fillId="0" borderId="44" xfId="0" applyFont="1" applyFill="1" applyBorder="1" applyAlignment="1">
      <alignment horizontal="center" vertical="center" wrapText="1"/>
    </xf>
    <xf numFmtId="0" fontId="15" fillId="0" borderId="45"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6" xfId="0" applyFont="1" applyFill="1" applyBorder="1" applyAlignment="1">
      <alignment horizontal="center" vertical="center"/>
    </xf>
    <xf numFmtId="0" fontId="23" fillId="0" borderId="45" xfId="0" applyFont="1" applyFill="1" applyBorder="1" applyAlignment="1">
      <alignment horizontal="center" vertical="center"/>
    </xf>
    <xf numFmtId="0" fontId="15" fillId="0" borderId="16" xfId="0" applyFont="1" applyFill="1" applyBorder="1" applyAlignment="1" applyProtection="1">
      <alignment horizontal="center" vertical="center"/>
    </xf>
    <xf numFmtId="0" fontId="25" fillId="0" borderId="16" xfId="0" applyFont="1" applyFill="1" applyBorder="1" applyAlignment="1" applyProtection="1">
      <alignment horizontal="center" vertical="center"/>
    </xf>
    <xf numFmtId="0" fontId="23" fillId="0" borderId="16" xfId="0" applyFont="1" applyFill="1" applyBorder="1" applyAlignment="1" applyProtection="1">
      <alignment horizontal="center" vertical="center"/>
    </xf>
    <xf numFmtId="0" fontId="15" fillId="0" borderId="45" xfId="0" applyFont="1" applyFill="1" applyBorder="1" applyAlignment="1" applyProtection="1">
      <alignment horizontal="center" vertical="center"/>
    </xf>
    <xf numFmtId="0" fontId="15" fillId="0" borderId="44" xfId="0" applyFont="1" applyFill="1" applyBorder="1" applyAlignment="1" applyProtection="1">
      <alignment horizontal="center" vertical="center" wrapText="1"/>
    </xf>
    <xf numFmtId="0" fontId="15" fillId="0" borderId="44" xfId="0" applyFont="1" applyFill="1" applyBorder="1" applyAlignment="1" applyProtection="1">
      <alignment horizontal="center" vertical="center"/>
    </xf>
    <xf numFmtId="49" fontId="9" fillId="2" borderId="40" xfId="0" applyNumberFormat="1" applyFont="1" applyFill="1" applyBorder="1" applyAlignment="1">
      <alignment horizontal="left" vertical="center"/>
    </xf>
    <xf numFmtId="49" fontId="23" fillId="0" borderId="46" xfId="0" applyNumberFormat="1" applyFont="1" applyFill="1" applyBorder="1" applyAlignment="1">
      <alignment horizontal="left" vertical="center" wrapText="1"/>
    </xf>
    <xf numFmtId="49" fontId="23" fillId="0" borderId="46" xfId="0" applyNumberFormat="1" applyFont="1" applyFill="1" applyBorder="1" applyAlignment="1">
      <alignment horizontal="left" vertical="center"/>
    </xf>
    <xf numFmtId="49" fontId="23" fillId="0" borderId="46" xfId="0" applyNumberFormat="1" applyFont="1" applyFill="1" applyBorder="1" applyAlignment="1" applyProtection="1">
      <alignment horizontal="left" vertical="center"/>
    </xf>
    <xf numFmtId="49" fontId="23" fillId="0" borderId="46" xfId="0" applyNumberFormat="1" applyFont="1" applyFill="1" applyBorder="1" applyAlignment="1" applyProtection="1">
      <alignment horizontal="left" vertical="center" wrapText="1"/>
    </xf>
    <xf numFmtId="49" fontId="30" fillId="2" borderId="39" xfId="0" applyNumberFormat="1" applyFont="1" applyFill="1" applyBorder="1" applyAlignment="1">
      <alignment horizontal="center" vertical="center"/>
    </xf>
    <xf numFmtId="49" fontId="44" fillId="0" borderId="0" xfId="0" applyNumberFormat="1" applyFont="1" applyAlignment="1">
      <alignment horizontal="left" vertical="center"/>
    </xf>
    <xf numFmtId="49" fontId="23" fillId="0" borderId="42" xfId="0" applyNumberFormat="1" applyFont="1" applyFill="1" applyBorder="1" applyAlignment="1">
      <alignment horizontal="left" vertical="center"/>
    </xf>
    <xf numFmtId="49" fontId="23" fillId="0" borderId="37" xfId="0" applyNumberFormat="1" applyFont="1" applyFill="1" applyBorder="1" applyAlignment="1">
      <alignment horizontal="left" vertical="center" wrapText="1"/>
    </xf>
    <xf numFmtId="49" fontId="45" fillId="0" borderId="46" xfId="0" applyNumberFormat="1" applyFont="1" applyFill="1" applyBorder="1" applyAlignment="1">
      <alignment horizontal="left" vertical="center"/>
    </xf>
    <xf numFmtId="49" fontId="23" fillId="0" borderId="42" xfId="0" applyNumberFormat="1" applyFont="1" applyFill="1" applyBorder="1" applyAlignment="1" applyProtection="1">
      <alignment horizontal="left" vertical="center"/>
    </xf>
    <xf numFmtId="49" fontId="46" fillId="0" borderId="0" xfId="0" applyNumberFormat="1" applyFont="1" applyAlignment="1">
      <alignment horizontal="left" vertical="center"/>
    </xf>
    <xf numFmtId="49" fontId="23" fillId="0" borderId="47" xfId="0" applyNumberFormat="1" applyFont="1" applyFill="1" applyBorder="1" applyAlignment="1" applyProtection="1">
      <alignment horizontal="left" vertical="center"/>
    </xf>
    <xf numFmtId="0" fontId="47" fillId="0" borderId="0" xfId="1" applyFont="1">
      <alignment vertical="center"/>
    </xf>
    <xf numFmtId="0" fontId="47" fillId="0" borderId="0" xfId="1" applyFont="1" applyBorder="1">
      <alignment vertical="center"/>
    </xf>
    <xf numFmtId="0" fontId="5" fillId="0" borderId="3" xfId="0" applyFont="1" applyFill="1" applyBorder="1" applyAlignment="1">
      <alignment horizontal="center" vertical="center"/>
    </xf>
    <xf numFmtId="0" fontId="47" fillId="0" borderId="48" xfId="1" applyFont="1" applyBorder="1">
      <alignment vertical="center"/>
    </xf>
    <xf numFmtId="0" fontId="15" fillId="0" borderId="0" xfId="0" applyFont="1" applyFill="1" applyBorder="1" applyAlignment="1">
      <alignment horizontal="center" vertical="center"/>
    </xf>
    <xf numFmtId="0" fontId="15" fillId="0" borderId="48" xfId="0" applyFont="1" applyFill="1" applyBorder="1" applyAlignment="1">
      <alignment horizontal="center" vertical="center"/>
    </xf>
    <xf numFmtId="49" fontId="23" fillId="0" borderId="38" xfId="0" applyNumberFormat="1" applyFont="1" applyFill="1" applyBorder="1" applyAlignment="1">
      <alignment horizontal="left" vertical="center"/>
    </xf>
    <xf numFmtId="49" fontId="23" fillId="0" borderId="47" xfId="0" applyNumberFormat="1" applyFont="1" applyFill="1" applyBorder="1" applyAlignment="1">
      <alignment horizontal="left" vertical="center" wrapText="1"/>
    </xf>
    <xf numFmtId="0" fontId="47" fillId="0" borderId="41" xfId="1" applyFont="1" applyBorder="1">
      <alignment vertical="center"/>
    </xf>
    <xf numFmtId="49" fontId="23" fillId="0" borderId="37" xfId="0" applyNumberFormat="1" applyFont="1" applyFill="1" applyBorder="1" applyAlignment="1" applyProtection="1">
      <alignment horizontal="left" vertical="center"/>
    </xf>
    <xf numFmtId="0" fontId="48" fillId="0" borderId="0" xfId="0" applyFont="1" applyFill="1">
      <alignment vertical="center"/>
    </xf>
    <xf numFmtId="0" fontId="52" fillId="0" borderId="0" xfId="0" applyFont="1" applyAlignment="1">
      <alignment horizontal="left"/>
    </xf>
    <xf numFmtId="0" fontId="51" fillId="0" borderId="0" xfId="0" applyFont="1" applyFill="1" applyAlignment="1">
      <alignment horizontal="left" vertical="center"/>
    </xf>
    <xf numFmtId="0" fontId="51" fillId="0" borderId="0" xfId="0" applyFont="1" applyFill="1">
      <alignment vertical="center"/>
    </xf>
    <xf numFmtId="0" fontId="51" fillId="0" borderId="0" xfId="0" applyFont="1" applyAlignment="1">
      <alignment horizontal="left" vertical="center"/>
    </xf>
    <xf numFmtId="0" fontId="52" fillId="4" borderId="0" xfId="0" applyFont="1" applyFill="1" applyBorder="1" applyAlignment="1">
      <alignment horizontal="left" vertical="center" wrapText="1"/>
    </xf>
    <xf numFmtId="0" fontId="52" fillId="5" borderId="0" xfId="0" applyFont="1" applyFill="1" applyAlignment="1">
      <alignment horizontal="left" vertical="center"/>
    </xf>
    <xf numFmtId="0" fontId="52" fillId="5" borderId="0" xfId="0" applyFont="1" applyFill="1" applyAlignment="1">
      <alignment horizontal="center" vertical="center"/>
    </xf>
    <xf numFmtId="0" fontId="51" fillId="4" borderId="0" xfId="0" applyFont="1" applyFill="1" applyBorder="1" applyAlignment="1">
      <alignment horizontal="left" vertical="center" wrapText="1"/>
    </xf>
    <xf numFmtId="0" fontId="51" fillId="5" borderId="0" xfId="0" applyFont="1" applyFill="1" applyAlignment="1">
      <alignment horizontal="left" vertical="center"/>
    </xf>
    <xf numFmtId="0" fontId="51" fillId="5" borderId="0" xfId="0" applyFont="1" applyFill="1">
      <alignment vertical="center"/>
    </xf>
    <xf numFmtId="49" fontId="23" fillId="0" borderId="37" xfId="0" applyNumberFormat="1" applyFont="1" applyFill="1" applyBorder="1" applyAlignment="1" applyProtection="1">
      <alignment horizontal="left" vertical="center" wrapText="1"/>
    </xf>
    <xf numFmtId="49" fontId="23" fillId="0" borderId="42" xfId="0" applyNumberFormat="1" applyFont="1" applyFill="1" applyBorder="1" applyAlignment="1">
      <alignment horizontal="left" vertical="center" wrapText="1"/>
    </xf>
    <xf numFmtId="0" fontId="47" fillId="0" borderId="16" xfId="1" applyFont="1" applyBorder="1">
      <alignment vertical="center"/>
    </xf>
    <xf numFmtId="0" fontId="51" fillId="6" borderId="0" xfId="0" applyFont="1" applyFill="1" applyBorder="1" applyAlignment="1">
      <alignment horizontal="left" vertical="center" wrapText="1"/>
    </xf>
    <xf numFmtId="0" fontId="49" fillId="0" borderId="0" xfId="0" applyFont="1" applyFill="1" applyBorder="1" applyAlignment="1">
      <alignment vertical="center" wrapText="1"/>
    </xf>
    <xf numFmtId="0" fontId="50" fillId="0" borderId="0" xfId="0" applyFont="1" applyFill="1">
      <alignment vertical="center"/>
    </xf>
    <xf numFmtId="0" fontId="47" fillId="0" borderId="10" xfId="1" applyFont="1" applyBorder="1">
      <alignment vertical="center"/>
    </xf>
    <xf numFmtId="0" fontId="30" fillId="2" borderId="29" xfId="0" applyFont="1" applyFill="1" applyBorder="1" applyAlignment="1">
      <alignment horizontal="center" vertical="center" wrapText="1"/>
    </xf>
    <xf numFmtId="0" fontId="47" fillId="0" borderId="18" xfId="1" applyFont="1" applyBorder="1">
      <alignment vertical="center"/>
    </xf>
    <xf numFmtId="0" fontId="47" fillId="0" borderId="19" xfId="1" applyFont="1" applyBorder="1">
      <alignment vertical="center"/>
    </xf>
    <xf numFmtId="0" fontId="47" fillId="0" borderId="71" xfId="1" applyFont="1" applyBorder="1">
      <alignment vertical="center"/>
    </xf>
    <xf numFmtId="0" fontId="15" fillId="0" borderId="5" xfId="0" applyFont="1" applyFill="1" applyBorder="1" applyAlignment="1" applyProtection="1">
      <alignment horizontal="center" vertical="center"/>
    </xf>
    <xf numFmtId="0" fontId="23" fillId="0" borderId="5" xfId="0" applyFont="1" applyFill="1" applyBorder="1" applyAlignment="1">
      <alignment horizontal="center" vertical="center"/>
    </xf>
    <xf numFmtId="0" fontId="5" fillId="0" borderId="74" xfId="0" applyFont="1" applyFill="1" applyBorder="1" applyAlignment="1">
      <alignment horizontal="center" vertical="center"/>
    </xf>
    <xf numFmtId="0" fontId="47" fillId="0" borderId="19" xfId="1" applyFont="1" applyBorder="1" applyProtection="1">
      <alignment vertical="center"/>
    </xf>
    <xf numFmtId="0" fontId="27" fillId="0" borderId="10" xfId="0" applyFont="1" applyFill="1" applyBorder="1">
      <alignment vertical="center"/>
    </xf>
    <xf numFmtId="0" fontId="23" fillId="0" borderId="45" xfId="0" applyFont="1" applyFill="1" applyBorder="1" applyAlignment="1" applyProtection="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55" xfId="0" applyFont="1" applyFill="1" applyBorder="1" applyAlignment="1">
      <alignment horizontal="center" vertical="center"/>
    </xf>
    <xf numFmtId="0" fontId="30" fillId="2" borderId="28"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31"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30" fillId="2" borderId="28" xfId="0" applyFont="1" applyFill="1" applyBorder="1" applyAlignment="1">
      <alignment horizontal="center" vertical="center"/>
    </xf>
    <xf numFmtId="0" fontId="30" fillId="2" borderId="29" xfId="0" applyFont="1" applyFill="1" applyBorder="1" applyAlignment="1">
      <alignment horizontal="center" vertical="center"/>
    </xf>
    <xf numFmtId="0" fontId="30" fillId="2" borderId="30" xfId="0" applyFont="1" applyFill="1" applyBorder="1" applyAlignment="1">
      <alignment horizontal="center" vertical="center"/>
    </xf>
    <xf numFmtId="0" fontId="30" fillId="2" borderId="32" xfId="0" applyFont="1" applyFill="1" applyBorder="1" applyAlignment="1">
      <alignment horizontal="center" vertical="center" wrapText="1"/>
    </xf>
    <xf numFmtId="0" fontId="30" fillId="2" borderId="33"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13" fillId="2" borderId="68" xfId="0" applyFont="1" applyFill="1" applyBorder="1" applyAlignment="1">
      <alignment horizontal="center" vertical="center"/>
    </xf>
    <xf numFmtId="0" fontId="35" fillId="0" borderId="43" xfId="0" applyFont="1" applyFill="1" applyBorder="1" applyAlignment="1" applyProtection="1">
      <alignment vertical="center" wrapText="1"/>
    </xf>
    <xf numFmtId="0" fontId="15" fillId="0" borderId="8" xfId="0" applyFont="1" applyFill="1" applyBorder="1" applyAlignment="1" applyProtection="1">
      <alignment vertical="center" wrapText="1"/>
    </xf>
    <xf numFmtId="0" fontId="16" fillId="0" borderId="11"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34" fillId="0" borderId="11"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25" xfId="0" applyFont="1" applyFill="1" applyBorder="1" applyAlignment="1">
      <alignment horizontal="center" vertical="center"/>
    </xf>
    <xf numFmtId="0" fontId="30" fillId="2" borderId="49" xfId="0" applyFont="1" applyFill="1" applyBorder="1" applyAlignment="1">
      <alignment horizontal="center" vertical="center" wrapText="1"/>
    </xf>
    <xf numFmtId="0" fontId="30" fillId="2" borderId="50" xfId="0" applyFont="1" applyFill="1" applyBorder="1" applyAlignment="1">
      <alignment horizontal="center" vertical="center" wrapText="1"/>
    </xf>
    <xf numFmtId="0" fontId="30" fillId="2" borderId="51" xfId="0" applyFont="1" applyFill="1" applyBorder="1" applyAlignment="1">
      <alignment horizontal="center" vertical="center" wrapText="1"/>
    </xf>
    <xf numFmtId="0" fontId="30" fillId="2" borderId="52" xfId="0" applyFont="1" applyFill="1" applyBorder="1" applyAlignment="1">
      <alignment horizontal="center" vertical="center" wrapText="1"/>
    </xf>
    <xf numFmtId="0" fontId="30" fillId="2" borderId="53" xfId="0" applyFont="1" applyFill="1" applyBorder="1" applyAlignment="1">
      <alignment horizontal="center" vertical="center" wrapText="1"/>
    </xf>
    <xf numFmtId="0" fontId="30" fillId="2" borderId="54" xfId="0" applyFont="1" applyFill="1" applyBorder="1" applyAlignment="1">
      <alignment horizontal="center" vertical="center" wrapText="1"/>
    </xf>
    <xf numFmtId="0" fontId="30" fillId="2" borderId="33" xfId="0" applyFont="1" applyFill="1" applyBorder="1" applyAlignment="1">
      <alignment horizontal="center" vertical="center"/>
    </xf>
    <xf numFmtId="0" fontId="30" fillId="2" borderId="63" xfId="0" applyFont="1" applyFill="1" applyBorder="1" applyAlignment="1">
      <alignment horizontal="center" vertical="center"/>
    </xf>
    <xf numFmtId="0" fontId="31" fillId="0" borderId="24"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31" xfId="0" applyFont="1" applyFill="1" applyBorder="1" applyAlignment="1">
      <alignment horizontal="center" vertical="center"/>
    </xf>
    <xf numFmtId="0" fontId="15" fillId="0" borderId="62"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6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43" xfId="0" applyFont="1" applyFill="1" applyBorder="1" applyAlignment="1" applyProtection="1">
      <alignment vertical="center" wrapText="1"/>
    </xf>
    <xf numFmtId="0" fontId="15" fillId="0" borderId="8" xfId="0" applyFont="1" applyFill="1" applyBorder="1" applyAlignment="1">
      <alignment vertical="center" wrapText="1"/>
    </xf>
    <xf numFmtId="0" fontId="15" fillId="0" borderId="43" xfId="0" applyFont="1" applyFill="1" applyBorder="1" applyAlignment="1">
      <alignment vertical="center" wrapText="1"/>
    </xf>
    <xf numFmtId="0" fontId="13" fillId="2" borderId="58" xfId="0" applyFont="1" applyFill="1" applyBorder="1" applyAlignment="1">
      <alignment horizontal="center" vertical="center"/>
    </xf>
    <xf numFmtId="0" fontId="30" fillId="2" borderId="64" xfId="0" applyFont="1" applyFill="1" applyBorder="1" applyAlignment="1">
      <alignment horizontal="center" vertical="center"/>
    </xf>
    <xf numFmtId="0" fontId="15" fillId="0" borderId="57" xfId="0" applyFont="1" applyFill="1" applyBorder="1" applyAlignment="1">
      <alignment horizontal="center" vertical="center" wrapText="1"/>
    </xf>
    <xf numFmtId="0" fontId="43" fillId="0" borderId="43" xfId="0" applyFont="1" applyFill="1" applyBorder="1" applyAlignment="1" applyProtection="1">
      <alignment vertical="center" wrapText="1"/>
    </xf>
    <xf numFmtId="0" fontId="23" fillId="0" borderId="8" xfId="0" applyFont="1" applyFill="1" applyBorder="1" applyAlignment="1" applyProtection="1">
      <alignment vertical="center" wrapText="1"/>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64" xfId="0" applyFont="1" applyFill="1" applyBorder="1" applyAlignment="1">
      <alignment horizontal="center" vertical="center"/>
    </xf>
    <xf numFmtId="0" fontId="30" fillId="2" borderId="59" xfId="0" applyFont="1" applyFill="1" applyBorder="1" applyAlignment="1">
      <alignment horizontal="center" vertical="center"/>
    </xf>
    <xf numFmtId="0" fontId="15" fillId="0" borderId="14" xfId="0" applyFont="1" applyFill="1" applyBorder="1" applyAlignment="1">
      <alignment horizontal="center" vertical="center" wrapText="1"/>
    </xf>
    <xf numFmtId="0" fontId="25" fillId="0" borderId="72" xfId="0" applyFont="1" applyFill="1" applyBorder="1" applyAlignment="1" applyProtection="1">
      <alignment vertical="center" wrapText="1"/>
    </xf>
    <xf numFmtId="0" fontId="15" fillId="0" borderId="73" xfId="0" applyFont="1" applyFill="1" applyBorder="1" applyAlignment="1" applyProtection="1">
      <alignment vertical="center" wrapText="1"/>
    </xf>
    <xf numFmtId="0" fontId="35" fillId="0" borderId="22"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15" fillId="0" borderId="67" xfId="0" applyFont="1" applyFill="1" applyBorder="1" applyAlignment="1">
      <alignment horizontal="center" vertical="center" wrapText="1"/>
    </xf>
    <xf numFmtId="0" fontId="35" fillId="0" borderId="69" xfId="0" applyFont="1" applyFill="1" applyBorder="1" applyAlignment="1" applyProtection="1">
      <alignment vertical="center" wrapText="1"/>
    </xf>
    <xf numFmtId="0" fontId="15" fillId="0" borderId="70" xfId="0" applyFont="1" applyFill="1" applyBorder="1" applyAlignment="1" applyProtection="1">
      <alignment vertical="center" wrapText="1"/>
    </xf>
    <xf numFmtId="0" fontId="16" fillId="0" borderId="25" xfId="0" applyFont="1" applyFill="1" applyBorder="1" applyAlignment="1">
      <alignment horizontal="center" vertical="center"/>
    </xf>
    <xf numFmtId="0" fontId="41" fillId="0" borderId="22"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9" fillId="2" borderId="65"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4" xfId="0" applyFont="1" applyFill="1" applyBorder="1" applyAlignment="1">
      <alignment horizontal="center" vertical="center"/>
    </xf>
    <xf numFmtId="0" fontId="30" fillId="2" borderId="64" xfId="0" applyFont="1" applyFill="1" applyBorder="1" applyAlignment="1">
      <alignment horizontal="center" vertical="center" wrapText="1"/>
    </xf>
    <xf numFmtId="0" fontId="16" fillId="0" borderId="13" xfId="0" applyFont="1" applyFill="1" applyBorder="1" applyAlignment="1">
      <alignment horizontal="center" vertical="center"/>
    </xf>
    <xf numFmtId="0" fontId="35" fillId="0" borderId="72" xfId="0" applyFont="1" applyFill="1" applyBorder="1" applyAlignment="1" applyProtection="1">
      <alignment vertical="center" wrapText="1"/>
    </xf>
    <xf numFmtId="0" fontId="16" fillId="0" borderId="75" xfId="0" applyFont="1" applyFill="1" applyBorder="1" applyAlignment="1">
      <alignment horizontal="center" vertical="center"/>
    </xf>
    <xf numFmtId="0" fontId="15" fillId="0" borderId="76" xfId="0" applyFont="1" applyFill="1" applyBorder="1" applyAlignment="1">
      <alignment horizontal="center" vertical="center" wrapText="1"/>
    </xf>
    <xf numFmtId="0" fontId="29" fillId="0" borderId="0" xfId="0" applyFont="1" applyBorder="1" applyAlignment="1">
      <alignment horizontal="center" vertical="center"/>
    </xf>
    <xf numFmtId="0" fontId="6" fillId="0" borderId="0" xfId="0" applyFont="1" applyBorder="1" applyAlignment="1">
      <alignment horizontal="center" vertical="center"/>
    </xf>
    <xf numFmtId="0" fontId="7" fillId="2" borderId="2"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7" xfId="0" applyFont="1" applyFill="1" applyBorder="1" applyAlignment="1">
      <alignment horizontal="center" vertical="center"/>
    </xf>
    <xf numFmtId="0" fontId="25" fillId="0" borderId="43" xfId="0" applyFont="1" applyFill="1" applyBorder="1" applyAlignment="1" applyProtection="1">
      <alignment vertical="center" wrapText="1"/>
    </xf>
    <xf numFmtId="0" fontId="34" fillId="0" borderId="31"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30" xfId="0" applyFont="1" applyFill="1" applyBorder="1" applyAlignment="1">
      <alignment horizontal="center" vertical="center"/>
    </xf>
    <xf numFmtId="0" fontId="30" fillId="2" borderId="60" xfId="0" applyFont="1" applyFill="1" applyBorder="1" applyAlignment="1">
      <alignment horizontal="center" vertical="center" wrapText="1"/>
    </xf>
    <xf numFmtId="0" fontId="30" fillId="2" borderId="65" xfId="0" applyFont="1" applyFill="1" applyBorder="1" applyAlignment="1">
      <alignment horizontal="center" vertical="center" wrapText="1"/>
    </xf>
    <xf numFmtId="0" fontId="30" fillId="2" borderId="3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9" fillId="2" borderId="8" xfId="0" applyFont="1" applyFill="1" applyBorder="1" applyAlignment="1">
      <alignment horizontal="center" vertical="center"/>
    </xf>
    <xf numFmtId="0" fontId="25" fillId="0" borderId="8"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color rgb="FF0000FF"/>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M276"/>
  <sheetViews>
    <sheetView tabSelected="1" view="pageBreakPreview" zoomScale="60" zoomScaleNormal="50" zoomScalePageLayoutView="60" workbookViewId="0">
      <selection activeCell="P266" sqref="P266"/>
    </sheetView>
  </sheetViews>
  <sheetFormatPr defaultRowHeight="33" outlineLevelCol="1"/>
  <cols>
    <col min="1" max="1" width="9" style="1"/>
    <col min="2" max="2" width="14.875" style="2" customWidth="1"/>
    <col min="3" max="3" width="26.75" style="2" customWidth="1"/>
    <col min="4" max="4" width="3.625" style="29" customWidth="1"/>
    <col min="5" max="5" width="137.125" style="3" customWidth="1"/>
    <col min="6" max="6" width="9" style="4" hidden="1" customWidth="1" outlineLevel="1"/>
    <col min="7" max="7" width="123.125" style="64" hidden="1" customWidth="1" outlineLevel="1"/>
    <col min="8" max="8" width="24.625" style="32" customWidth="1" collapsed="1"/>
    <col min="9" max="9" width="41.5" style="5" customWidth="1"/>
    <col min="10" max="10" width="27.375" style="80" hidden="1" customWidth="1"/>
    <col min="11" max="11" width="27.375" style="78" hidden="1" customWidth="1"/>
    <col min="12" max="12" width="22.75" style="79" hidden="1" customWidth="1"/>
    <col min="13" max="13" width="41" style="92" customWidth="1"/>
    <col min="14" max="1027" width="9" style="6"/>
  </cols>
  <sheetData>
    <row r="1" spans="1:1027" s="36" customFormat="1" ht="76.5" customHeight="1">
      <c r="A1" s="187" t="s">
        <v>213</v>
      </c>
      <c r="B1" s="188"/>
      <c r="C1" s="188"/>
      <c r="D1" s="188"/>
      <c r="E1" s="188"/>
      <c r="F1" s="188"/>
      <c r="G1" s="188"/>
      <c r="H1" s="188"/>
      <c r="I1" s="35"/>
      <c r="J1" s="77"/>
      <c r="K1" s="78"/>
      <c r="L1" s="79"/>
      <c r="M1" s="76"/>
      <c r="AMM1" s="37"/>
    </row>
    <row r="2" spans="1:1027" ht="9.75" customHeight="1" thickBot="1">
      <c r="A2"/>
      <c r="B2"/>
      <c r="C2"/>
      <c r="D2" s="27"/>
      <c r="E2"/>
      <c r="F2"/>
      <c r="G2" s="59"/>
      <c r="H2" s="27"/>
      <c r="I2"/>
      <c r="M2" s="76"/>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row>
    <row r="3" spans="1:1027" s="9" customFormat="1" ht="40.5" customHeight="1" thickBot="1">
      <c r="A3" s="189" t="s">
        <v>0</v>
      </c>
      <c r="B3" s="189"/>
      <c r="C3" s="189"/>
      <c r="D3" s="30"/>
      <c r="E3" s="7" t="s">
        <v>1</v>
      </c>
      <c r="F3" s="8" t="s">
        <v>2</v>
      </c>
      <c r="G3" s="58" t="s">
        <v>106</v>
      </c>
      <c r="H3" s="190" t="s">
        <v>3</v>
      </c>
      <c r="I3" s="200" t="s">
        <v>4</v>
      </c>
      <c r="J3" s="81"/>
      <c r="K3" s="82"/>
      <c r="L3" s="83"/>
      <c r="M3" s="91"/>
    </row>
    <row r="4" spans="1:1027" ht="40.5" customHeight="1">
      <c r="A4" s="189"/>
      <c r="B4" s="189"/>
      <c r="C4" s="189"/>
      <c r="D4" s="31"/>
      <c r="E4" s="201" t="s">
        <v>5</v>
      </c>
      <c r="F4" s="201"/>
      <c r="G4" s="53"/>
      <c r="H4" s="191"/>
      <c r="I4" s="200"/>
      <c r="J4" s="84" t="s">
        <v>196</v>
      </c>
      <c r="K4" s="85" t="s">
        <v>178</v>
      </c>
      <c r="L4" s="86" t="s">
        <v>179</v>
      </c>
      <c r="M4" s="76"/>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row>
    <row r="5" spans="1:1027" s="10" customFormat="1" ht="39" customHeight="1">
      <c r="A5" s="104">
        <v>1</v>
      </c>
      <c r="B5" s="132" t="s">
        <v>114</v>
      </c>
      <c r="C5" s="133"/>
      <c r="D5" s="12"/>
      <c r="E5" s="93" t="str">
        <f>HYPERLINK(G5, "ふるさと未来づくり資金")</f>
        <v>ふるさと未来づくり資金</v>
      </c>
      <c r="F5" s="39" t="s">
        <v>6</v>
      </c>
      <c r="G5" s="60" t="s">
        <v>295</v>
      </c>
      <c r="H5" s="144" t="s">
        <v>7</v>
      </c>
      <c r="I5" s="113" t="s">
        <v>8</v>
      </c>
      <c r="J5" s="90" t="s">
        <v>152</v>
      </c>
      <c r="K5" s="85" t="s">
        <v>180</v>
      </c>
      <c r="L5" s="86"/>
      <c r="M5" s="92"/>
    </row>
    <row r="6" spans="1:1027" s="10" customFormat="1" ht="66" customHeight="1">
      <c r="A6" s="105"/>
      <c r="B6" s="134"/>
      <c r="C6" s="135"/>
      <c r="D6" s="14"/>
      <c r="E6" s="153" t="s">
        <v>9</v>
      </c>
      <c r="F6" s="154"/>
      <c r="G6" s="54"/>
      <c r="H6" s="145"/>
      <c r="I6" s="114"/>
      <c r="J6" s="90" t="s">
        <v>152</v>
      </c>
      <c r="K6" s="85" t="s">
        <v>180</v>
      </c>
      <c r="L6" s="86"/>
      <c r="M6" s="92"/>
    </row>
    <row r="7" spans="1:1027" s="10" customFormat="1" ht="39" customHeight="1">
      <c r="A7" s="105"/>
      <c r="B7" s="134"/>
      <c r="C7" s="135"/>
      <c r="D7" s="12"/>
      <c r="E7" s="93" t="str">
        <f>HYPERLINK(G7, "自治会集会所建設等補助金")</f>
        <v>自治会集会所建設等補助金</v>
      </c>
      <c r="F7" s="39" t="s">
        <v>10</v>
      </c>
      <c r="G7" s="60" t="s">
        <v>296</v>
      </c>
      <c r="H7" s="145"/>
      <c r="I7" s="114"/>
      <c r="J7" s="90" t="s">
        <v>152</v>
      </c>
      <c r="K7" s="85" t="s">
        <v>180</v>
      </c>
      <c r="L7" s="86"/>
      <c r="M7" s="92"/>
    </row>
    <row r="8" spans="1:1027" s="10" customFormat="1" ht="75.75" customHeight="1">
      <c r="A8" s="105"/>
      <c r="B8" s="134"/>
      <c r="C8" s="135"/>
      <c r="D8" s="14"/>
      <c r="E8" s="202" t="s">
        <v>297</v>
      </c>
      <c r="F8" s="154"/>
      <c r="G8" s="61"/>
      <c r="H8" s="145"/>
      <c r="I8" s="114"/>
      <c r="J8" s="90" t="s">
        <v>152</v>
      </c>
      <c r="K8" s="85" t="s">
        <v>180</v>
      </c>
      <c r="L8" s="86"/>
      <c r="M8" s="92"/>
    </row>
    <row r="9" spans="1:1027" s="10" customFormat="1" ht="39" customHeight="1">
      <c r="A9" s="105"/>
      <c r="B9" s="134"/>
      <c r="C9" s="135"/>
      <c r="D9" s="12"/>
      <c r="E9" s="13" t="s">
        <v>11</v>
      </c>
      <c r="F9" s="39" t="s">
        <v>10</v>
      </c>
      <c r="G9" s="55"/>
      <c r="H9" s="145"/>
      <c r="I9" s="114"/>
      <c r="J9" s="90" t="s">
        <v>152</v>
      </c>
      <c r="K9" s="85" t="s">
        <v>180</v>
      </c>
      <c r="L9" s="86"/>
      <c r="M9" s="92"/>
    </row>
    <row r="10" spans="1:1027" s="10" customFormat="1" ht="75.75" customHeight="1">
      <c r="A10" s="105"/>
      <c r="B10" s="134"/>
      <c r="C10" s="135"/>
      <c r="D10" s="14"/>
      <c r="E10" s="202" t="s">
        <v>298</v>
      </c>
      <c r="F10" s="154"/>
      <c r="G10" s="54"/>
      <c r="H10" s="145"/>
      <c r="I10" s="114"/>
      <c r="J10" s="90" t="s">
        <v>152</v>
      </c>
      <c r="K10" s="85" t="s">
        <v>180</v>
      </c>
      <c r="L10" s="86"/>
      <c r="M10" s="92"/>
    </row>
    <row r="11" spans="1:1027" s="10" customFormat="1" ht="39" customHeight="1">
      <c r="A11" s="105"/>
      <c r="B11" s="134"/>
      <c r="C11" s="135"/>
      <c r="D11" s="12"/>
      <c r="E11" s="13" t="s">
        <v>12</v>
      </c>
      <c r="F11" s="39" t="s">
        <v>10</v>
      </c>
      <c r="G11" s="60"/>
      <c r="H11" s="145"/>
      <c r="I11" s="114"/>
      <c r="J11" s="90" t="s">
        <v>152</v>
      </c>
      <c r="K11" s="85" t="s">
        <v>180</v>
      </c>
      <c r="L11" s="86"/>
      <c r="M11" s="92"/>
    </row>
    <row r="12" spans="1:1027" s="10" customFormat="1" ht="75.75" customHeight="1">
      <c r="A12" s="105"/>
      <c r="B12" s="134"/>
      <c r="C12" s="135"/>
      <c r="D12" s="14"/>
      <c r="E12" s="153" t="s">
        <v>13</v>
      </c>
      <c r="F12" s="154"/>
      <c r="G12" s="61"/>
      <c r="H12" s="145"/>
      <c r="I12" s="114"/>
      <c r="J12" s="90" t="s">
        <v>152</v>
      </c>
      <c r="K12" s="85" t="s">
        <v>180</v>
      </c>
      <c r="L12" s="86"/>
      <c r="M12" s="92"/>
    </row>
    <row r="13" spans="1:1027" s="10" customFormat="1" ht="39" customHeight="1">
      <c r="A13" s="105"/>
      <c r="B13" s="134"/>
      <c r="C13" s="135"/>
      <c r="D13" s="12"/>
      <c r="E13" s="13" t="s">
        <v>14</v>
      </c>
      <c r="F13" s="39" t="s">
        <v>6</v>
      </c>
      <c r="G13" s="55"/>
      <c r="H13" s="145"/>
      <c r="I13" s="114"/>
      <c r="J13" s="90" t="s">
        <v>152</v>
      </c>
      <c r="K13" s="85" t="s">
        <v>180</v>
      </c>
      <c r="L13" s="86"/>
      <c r="M13" s="92"/>
    </row>
    <row r="14" spans="1:1027" s="10" customFormat="1" ht="75.75" customHeight="1">
      <c r="A14" s="105"/>
      <c r="B14" s="134"/>
      <c r="C14" s="135"/>
      <c r="D14" s="14"/>
      <c r="E14" s="153" t="s">
        <v>15</v>
      </c>
      <c r="F14" s="154"/>
      <c r="G14" s="54"/>
      <c r="H14" s="145"/>
      <c r="I14" s="114"/>
      <c r="J14" s="90" t="s">
        <v>152</v>
      </c>
      <c r="K14" s="85" t="s">
        <v>180</v>
      </c>
      <c r="L14" s="86"/>
      <c r="M14" s="92"/>
    </row>
    <row r="15" spans="1:1027" s="10" customFormat="1" ht="39" customHeight="1">
      <c r="A15" s="105"/>
      <c r="B15" s="134"/>
      <c r="C15" s="135"/>
      <c r="D15" s="12"/>
      <c r="E15" s="93" t="str">
        <f>HYPERLINK(G15, "自治会デジタル化促進事業補助金")</f>
        <v>自治会デジタル化促進事業補助金</v>
      </c>
      <c r="F15" s="41" t="s">
        <v>103</v>
      </c>
      <c r="G15" s="60" t="s">
        <v>299</v>
      </c>
      <c r="H15" s="145"/>
      <c r="I15" s="114"/>
      <c r="J15" s="90" t="s">
        <v>152</v>
      </c>
      <c r="K15" s="85" t="s">
        <v>180</v>
      </c>
      <c r="L15" s="86"/>
      <c r="M15" s="92"/>
    </row>
    <row r="16" spans="1:1027" s="10" customFormat="1" ht="75.75" customHeight="1">
      <c r="A16" s="105"/>
      <c r="B16" s="134"/>
      <c r="C16" s="135"/>
      <c r="D16" s="14"/>
      <c r="E16" s="153" t="s">
        <v>102</v>
      </c>
      <c r="F16" s="154"/>
      <c r="G16" s="61"/>
      <c r="H16" s="147"/>
      <c r="I16" s="115"/>
      <c r="J16" s="90" t="s">
        <v>152</v>
      </c>
      <c r="K16" s="85" t="s">
        <v>180</v>
      </c>
      <c r="L16" s="86"/>
      <c r="M16" s="92"/>
    </row>
    <row r="17" spans="1:15" s="10" customFormat="1" ht="39" customHeight="1">
      <c r="A17" s="105"/>
      <c r="B17" s="134"/>
      <c r="C17" s="135"/>
      <c r="D17" s="12"/>
      <c r="E17" s="13" t="s">
        <v>16</v>
      </c>
      <c r="F17" s="39" t="s">
        <v>10</v>
      </c>
      <c r="G17" s="55"/>
      <c r="H17" s="183" t="s">
        <v>17</v>
      </c>
      <c r="I17" s="164" t="s">
        <v>18</v>
      </c>
      <c r="J17" s="90" t="s">
        <v>153</v>
      </c>
      <c r="K17" s="85" t="s">
        <v>180</v>
      </c>
      <c r="L17" s="86"/>
      <c r="M17" s="92"/>
    </row>
    <row r="18" spans="1:15" s="10" customFormat="1" ht="75.75" customHeight="1">
      <c r="A18" s="105"/>
      <c r="B18" s="134"/>
      <c r="C18" s="135"/>
      <c r="D18" s="14"/>
      <c r="E18" s="124" t="s">
        <v>222</v>
      </c>
      <c r="F18" s="125"/>
      <c r="G18" s="61"/>
      <c r="H18" s="183"/>
      <c r="I18" s="164"/>
      <c r="J18" s="90" t="s">
        <v>153</v>
      </c>
      <c r="K18" s="85" t="s">
        <v>180</v>
      </c>
      <c r="L18" s="86"/>
      <c r="M18" s="92"/>
      <c r="O18" s="11"/>
    </row>
    <row r="19" spans="1:15" s="10" customFormat="1" ht="39" customHeight="1">
      <c r="A19" s="105"/>
      <c r="B19" s="134"/>
      <c r="C19" s="135"/>
      <c r="D19" s="34"/>
      <c r="E19" s="67" t="str">
        <f>HYPERLINK(G19, "廃棄物集積所設置補助金")</f>
        <v>廃棄物集積所設置補助金</v>
      </c>
      <c r="F19" s="39" t="s">
        <v>10</v>
      </c>
      <c r="G19" s="60" t="str">
        <f>HYPERLINK("#", "https://www.city.ise.mie.jp/kurashi/gomi/hojo/1001464.html")</f>
        <v>https://www.city.ise.mie.jp/kurashi/gomi/hojo/1001464.html</v>
      </c>
      <c r="H19" s="144" t="s">
        <v>19</v>
      </c>
      <c r="I19" s="113" t="s">
        <v>20</v>
      </c>
      <c r="J19" s="90" t="s">
        <v>154</v>
      </c>
      <c r="K19" s="85" t="s">
        <v>180</v>
      </c>
      <c r="L19" s="86"/>
      <c r="M19" s="92"/>
      <c r="O19"/>
    </row>
    <row r="20" spans="1:15" s="10" customFormat="1" ht="75.75" customHeight="1">
      <c r="A20" s="105"/>
      <c r="B20" s="134"/>
      <c r="C20" s="135"/>
      <c r="D20" s="15"/>
      <c r="E20" s="124" t="s">
        <v>223</v>
      </c>
      <c r="F20" s="125"/>
      <c r="G20" s="54"/>
      <c r="H20" s="145"/>
      <c r="I20" s="114"/>
      <c r="J20" s="90" t="s">
        <v>154</v>
      </c>
      <c r="K20" s="85" t="s">
        <v>180</v>
      </c>
      <c r="L20" s="86"/>
      <c r="M20" s="92"/>
      <c r="O20"/>
    </row>
    <row r="21" spans="1:15" s="10" customFormat="1" ht="39" customHeight="1">
      <c r="A21" s="105"/>
      <c r="B21" s="134"/>
      <c r="C21" s="135"/>
      <c r="D21" s="34"/>
      <c r="E21" s="67" t="str">
        <f>HYPERLINK(G21, "再生資源回収事業奨励金")</f>
        <v>再生資源回収事業奨励金</v>
      </c>
      <c r="F21" s="41" t="s">
        <v>313</v>
      </c>
      <c r="G21" s="60" t="s">
        <v>314</v>
      </c>
      <c r="H21" s="145"/>
      <c r="I21" s="114"/>
      <c r="J21" s="90" t="s">
        <v>154</v>
      </c>
      <c r="K21" s="85" t="s">
        <v>180</v>
      </c>
      <c r="L21" s="86"/>
      <c r="M21" s="92"/>
      <c r="O21"/>
    </row>
    <row r="22" spans="1:15" s="10" customFormat="1" ht="75.75" customHeight="1">
      <c r="A22" s="105"/>
      <c r="B22" s="134"/>
      <c r="C22" s="135"/>
      <c r="D22" s="15"/>
      <c r="E22" s="124" t="s">
        <v>315</v>
      </c>
      <c r="F22" s="125"/>
      <c r="G22" s="54"/>
      <c r="H22" s="147"/>
      <c r="I22" s="115"/>
      <c r="J22" s="90" t="s">
        <v>154</v>
      </c>
      <c r="K22" s="85" t="s">
        <v>180</v>
      </c>
      <c r="L22" s="86"/>
      <c r="M22" s="92"/>
      <c r="O22"/>
    </row>
    <row r="23" spans="1:15" s="10" customFormat="1" ht="39" customHeight="1">
      <c r="A23" s="105"/>
      <c r="B23" s="134"/>
      <c r="C23" s="135"/>
      <c r="D23" s="16"/>
      <c r="E23" s="93" t="str">
        <f>HYPERLINK(G23, "交通安全活動団体推進事業交付金")</f>
        <v>交通安全活動団体推進事業交付金</v>
      </c>
      <c r="F23" s="39" t="s">
        <v>6</v>
      </c>
      <c r="G23" s="60" t="s">
        <v>212</v>
      </c>
      <c r="H23" s="144" t="s">
        <v>21</v>
      </c>
      <c r="I23" s="113" t="s">
        <v>22</v>
      </c>
      <c r="J23" s="90" t="s">
        <v>155</v>
      </c>
      <c r="K23" s="85" t="s">
        <v>180</v>
      </c>
      <c r="L23" s="86"/>
      <c r="M23" s="92"/>
      <c r="O23"/>
    </row>
    <row r="24" spans="1:15" s="10" customFormat="1" ht="75.75" customHeight="1">
      <c r="A24" s="105"/>
      <c r="B24" s="134"/>
      <c r="C24" s="135"/>
      <c r="D24" s="15"/>
      <c r="E24" s="124" t="s">
        <v>224</v>
      </c>
      <c r="F24" s="125"/>
      <c r="G24" s="61"/>
      <c r="H24" s="145"/>
      <c r="I24" s="114"/>
      <c r="J24" s="90" t="s">
        <v>155</v>
      </c>
      <c r="K24" s="85" t="s">
        <v>180</v>
      </c>
      <c r="L24" s="86"/>
      <c r="M24" s="92"/>
      <c r="O24"/>
    </row>
    <row r="25" spans="1:15" s="10" customFormat="1" ht="33.75" customHeight="1">
      <c r="A25" s="105"/>
      <c r="B25" s="134"/>
      <c r="C25" s="135"/>
      <c r="D25" s="16"/>
      <c r="E25" s="17" t="s">
        <v>23</v>
      </c>
      <c r="F25" s="42" t="s">
        <v>10</v>
      </c>
      <c r="G25" s="54"/>
      <c r="H25" s="145"/>
      <c r="I25" s="151" t="s">
        <v>24</v>
      </c>
      <c r="J25" s="90" t="s">
        <v>155</v>
      </c>
      <c r="K25" s="85" t="s">
        <v>180</v>
      </c>
      <c r="L25" s="86"/>
      <c r="M25" s="92"/>
      <c r="O25"/>
    </row>
    <row r="26" spans="1:15" s="10" customFormat="1" ht="75.75" customHeight="1">
      <c r="A26" s="105"/>
      <c r="B26" s="134"/>
      <c r="C26" s="135"/>
      <c r="D26" s="18"/>
      <c r="E26" s="124" t="s">
        <v>225</v>
      </c>
      <c r="F26" s="125"/>
      <c r="G26" s="61"/>
      <c r="H26" s="147"/>
      <c r="I26" s="151"/>
      <c r="J26" s="90" t="s">
        <v>155</v>
      </c>
      <c r="K26" s="85" t="s">
        <v>180</v>
      </c>
      <c r="L26" s="86"/>
      <c r="M26" s="92"/>
      <c r="O26"/>
    </row>
    <row r="27" spans="1:15" s="10" customFormat="1" ht="39" customHeight="1">
      <c r="A27" s="105"/>
      <c r="B27" s="134"/>
      <c r="C27" s="135"/>
      <c r="D27" s="16"/>
      <c r="E27" s="67" t="str">
        <f>HYPERLINK(G27, "防犯灯整備事業補助金／防犯灯維持管理経費助成金")</f>
        <v>防犯灯整備事業補助金／防犯灯維持管理経費助成金</v>
      </c>
      <c r="F27" s="39" t="s">
        <v>10</v>
      </c>
      <c r="G27" s="60" t="str">
        <f>HYPERLINK("#", "https://www.city.ise.mie.jp/bousai_kyukyu/anzen/bouhan/1001778.html")</f>
        <v>https://www.city.ise.mie.jp/bousai_kyukyu/anzen/bouhan/1001778.html</v>
      </c>
      <c r="H27" s="129" t="s">
        <v>115</v>
      </c>
      <c r="I27" s="113" t="s">
        <v>116</v>
      </c>
      <c r="J27" s="90" t="s">
        <v>156</v>
      </c>
      <c r="K27" s="85" t="s">
        <v>180</v>
      </c>
      <c r="L27" s="86"/>
      <c r="M27" s="92"/>
      <c r="O27"/>
    </row>
    <row r="28" spans="1:15" s="10" customFormat="1" ht="75.75" customHeight="1">
      <c r="A28" s="105"/>
      <c r="B28" s="134"/>
      <c r="C28" s="135"/>
      <c r="D28" s="15"/>
      <c r="E28" s="124" t="s">
        <v>117</v>
      </c>
      <c r="F28" s="125"/>
      <c r="G28" s="61"/>
      <c r="H28" s="130"/>
      <c r="I28" s="114"/>
      <c r="J28" s="90" t="s">
        <v>156</v>
      </c>
      <c r="K28" s="85" t="s">
        <v>180</v>
      </c>
      <c r="L28" s="86"/>
      <c r="M28" s="92"/>
      <c r="O28"/>
    </row>
    <row r="29" spans="1:15" s="10" customFormat="1" ht="39" customHeight="1">
      <c r="A29" s="105"/>
      <c r="B29" s="134"/>
      <c r="C29" s="135"/>
      <c r="D29" s="16"/>
      <c r="E29" s="67" t="str">
        <f>HYPERLINK(G29, "防犯カメラ設置補助金／防犯カメラ維持管理経費助成金")</f>
        <v>防犯カメラ設置補助金／防犯カメラ維持管理経費助成金</v>
      </c>
      <c r="F29" s="39" t="s">
        <v>10</v>
      </c>
      <c r="G29" s="60" t="str">
        <f>HYPERLINK("#", "https://www.city.ise.mie.jp/bousai_kyukyu/anzen/bouhan/1015266.html")</f>
        <v>https://www.city.ise.mie.jp/bousai_kyukyu/anzen/bouhan/1015266.html</v>
      </c>
      <c r="H29" s="130"/>
      <c r="I29" s="114"/>
      <c r="J29" s="90" t="s">
        <v>156</v>
      </c>
      <c r="K29" s="85" t="s">
        <v>180</v>
      </c>
      <c r="L29" s="86"/>
      <c r="M29" s="92"/>
      <c r="O29"/>
    </row>
    <row r="30" spans="1:15" s="10" customFormat="1" ht="75.75" customHeight="1">
      <c r="A30" s="105"/>
      <c r="B30" s="134"/>
      <c r="C30" s="135"/>
      <c r="D30" s="15"/>
      <c r="E30" s="192" t="s">
        <v>302</v>
      </c>
      <c r="F30" s="125"/>
      <c r="G30" s="61"/>
      <c r="H30" s="130"/>
      <c r="I30" s="115"/>
      <c r="J30" s="90" t="s">
        <v>156</v>
      </c>
      <c r="K30" s="85" t="s">
        <v>180</v>
      </c>
      <c r="L30" s="86"/>
      <c r="M30" s="92"/>
      <c r="O30"/>
    </row>
    <row r="31" spans="1:15" s="10" customFormat="1" ht="39" customHeight="1">
      <c r="A31" s="105"/>
      <c r="B31" s="134"/>
      <c r="C31" s="135"/>
      <c r="D31" s="16"/>
      <c r="E31" s="67" t="str">
        <f>HYPERLINK(G31, "自主防災隊補助事業")</f>
        <v>自主防災隊補助事業</v>
      </c>
      <c r="F31" s="39" t="s">
        <v>10</v>
      </c>
      <c r="G31" s="60" t="str">
        <f>HYPERLINK("#", "https://www.city.ise.mie.jp/bousai_kyukyu/bousai/1001757.html")</f>
        <v>https://www.city.ise.mie.jp/bousai_kyukyu/bousai/1001757.html</v>
      </c>
      <c r="H31" s="130"/>
      <c r="I31" s="164" t="s">
        <v>25</v>
      </c>
      <c r="J31" s="90" t="s">
        <v>156</v>
      </c>
      <c r="K31" s="85" t="s">
        <v>180</v>
      </c>
      <c r="L31" s="86"/>
      <c r="M31" s="92"/>
      <c r="O31"/>
    </row>
    <row r="32" spans="1:15" s="10" customFormat="1" ht="75.75" customHeight="1" thickBot="1">
      <c r="A32" s="106"/>
      <c r="B32" s="136"/>
      <c r="C32" s="137"/>
      <c r="D32" s="26"/>
      <c r="E32" s="171" t="s">
        <v>226</v>
      </c>
      <c r="F32" s="172"/>
      <c r="G32" s="73"/>
      <c r="H32" s="131"/>
      <c r="I32" s="170"/>
      <c r="J32" s="90" t="s">
        <v>156</v>
      </c>
      <c r="K32" s="85" t="s">
        <v>180</v>
      </c>
      <c r="L32" s="86"/>
      <c r="M32" s="92"/>
      <c r="O32"/>
    </row>
    <row r="33" spans="1:15" ht="39.75" customHeight="1">
      <c r="A33" s="105">
        <v>2</v>
      </c>
      <c r="B33" s="120" t="s">
        <v>147</v>
      </c>
      <c r="C33" s="108" t="s">
        <v>136</v>
      </c>
      <c r="D33" s="28"/>
      <c r="E33" s="97" t="str">
        <f>HYPERLINK(G33, "介護予防・日常生活支援総合事業補助金")</f>
        <v>介護予防・日常生活支援総合事業補助金</v>
      </c>
      <c r="F33" s="98" t="s">
        <v>10</v>
      </c>
      <c r="G33" s="56" t="str">
        <f>HYPERLINK("#", "https://www.city.ise.mie.jp/kenkou_fukushi/koureisya/shien/yobou/1002585.html")</f>
        <v>https://www.city.ise.mie.jp/kenkou_fukushi/koureisya/shien/yobou/1002585.html</v>
      </c>
      <c r="H33" s="140" t="s">
        <v>79</v>
      </c>
      <c r="I33" s="142" t="s">
        <v>110</v>
      </c>
      <c r="J33" s="90" t="s">
        <v>157</v>
      </c>
      <c r="K33" s="85" t="s">
        <v>181</v>
      </c>
      <c r="L33" s="86" t="s">
        <v>136</v>
      </c>
    </row>
    <row r="34" spans="1:15" ht="66" customHeight="1">
      <c r="A34" s="105"/>
      <c r="B34" s="120"/>
      <c r="C34" s="108"/>
      <c r="D34" s="15"/>
      <c r="E34" s="124" t="s">
        <v>227</v>
      </c>
      <c r="F34" s="125"/>
      <c r="G34" s="56"/>
      <c r="H34" s="141"/>
      <c r="I34" s="143"/>
      <c r="J34" s="90" t="s">
        <v>157</v>
      </c>
      <c r="K34" s="85" t="s">
        <v>181</v>
      </c>
      <c r="L34" s="86" t="s">
        <v>136</v>
      </c>
    </row>
    <row r="35" spans="1:15" ht="39.75" customHeight="1">
      <c r="A35" s="105"/>
      <c r="B35" s="120"/>
      <c r="C35" s="108"/>
      <c r="D35" s="16"/>
      <c r="E35" s="24" t="s">
        <v>52</v>
      </c>
      <c r="F35" s="47" t="s">
        <v>10</v>
      </c>
      <c r="G35" s="63"/>
      <c r="H35" s="126" t="s">
        <v>53</v>
      </c>
      <c r="I35" s="113" t="s">
        <v>54</v>
      </c>
      <c r="J35" s="90" t="s">
        <v>158</v>
      </c>
      <c r="K35" s="85" t="s">
        <v>181</v>
      </c>
      <c r="L35" s="86" t="s">
        <v>136</v>
      </c>
    </row>
    <row r="36" spans="1:15" ht="66" customHeight="1">
      <c r="A36" s="105"/>
      <c r="B36" s="120"/>
      <c r="C36" s="108"/>
      <c r="D36" s="15"/>
      <c r="E36" s="124" t="s">
        <v>228</v>
      </c>
      <c r="F36" s="125"/>
      <c r="G36" s="75"/>
      <c r="H36" s="127"/>
      <c r="I36" s="114"/>
      <c r="J36" s="90" t="s">
        <v>158</v>
      </c>
      <c r="K36" s="85" t="s">
        <v>181</v>
      </c>
      <c r="L36" s="86" t="s">
        <v>136</v>
      </c>
    </row>
    <row r="37" spans="1:15" ht="39.75" customHeight="1">
      <c r="A37" s="105"/>
      <c r="B37" s="120"/>
      <c r="C37" s="108"/>
      <c r="D37" s="16"/>
      <c r="E37" s="38" t="s">
        <v>107</v>
      </c>
      <c r="F37" s="47" t="s">
        <v>10</v>
      </c>
      <c r="G37" s="56"/>
      <c r="H37" s="127"/>
      <c r="I37" s="114"/>
      <c r="J37" s="90" t="s">
        <v>158</v>
      </c>
      <c r="K37" s="85" t="s">
        <v>181</v>
      </c>
      <c r="L37" s="86" t="s">
        <v>136</v>
      </c>
    </row>
    <row r="38" spans="1:15" ht="66" customHeight="1">
      <c r="A38" s="105"/>
      <c r="B38" s="120"/>
      <c r="C38" s="108"/>
      <c r="D38" s="15"/>
      <c r="E38" s="124" t="s">
        <v>176</v>
      </c>
      <c r="F38" s="125"/>
      <c r="G38" s="56"/>
      <c r="H38" s="127"/>
      <c r="I38" s="114"/>
      <c r="J38" s="90" t="s">
        <v>158</v>
      </c>
      <c r="K38" s="85" t="s">
        <v>181</v>
      </c>
      <c r="L38" s="86" t="s">
        <v>136</v>
      </c>
    </row>
    <row r="39" spans="1:15" ht="39.75" customHeight="1">
      <c r="A39" s="105"/>
      <c r="B39" s="120"/>
      <c r="C39" s="108"/>
      <c r="D39" s="16"/>
      <c r="E39" s="67" t="str">
        <f>HYPERLINK(G39, "介護職員初任者研修費等助成金")</f>
        <v>介護職員初任者研修費等助成金</v>
      </c>
      <c r="F39" s="47" t="s">
        <v>10</v>
      </c>
      <c r="G39" s="63" t="str">
        <f>HYPERLINK("#", "https://www.city.ise.mie.jp/kenkou_fukushi/kaigo/notice/1002443.html")</f>
        <v>https://www.city.ise.mie.jp/kenkou_fukushi/kaigo/notice/1002443.html</v>
      </c>
      <c r="H39" s="127"/>
      <c r="I39" s="114"/>
      <c r="J39" s="90" t="s">
        <v>158</v>
      </c>
      <c r="K39" s="85" t="s">
        <v>181</v>
      </c>
      <c r="L39" s="86" t="s">
        <v>136</v>
      </c>
    </row>
    <row r="40" spans="1:15" ht="66" customHeight="1">
      <c r="A40" s="105"/>
      <c r="B40" s="120"/>
      <c r="C40" s="108"/>
      <c r="D40" s="15"/>
      <c r="E40" s="124" t="s">
        <v>219</v>
      </c>
      <c r="F40" s="125"/>
      <c r="G40" s="75"/>
      <c r="H40" s="127"/>
      <c r="I40" s="114"/>
      <c r="J40" s="90" t="s">
        <v>158</v>
      </c>
      <c r="K40" s="85" t="s">
        <v>181</v>
      </c>
      <c r="L40" s="86" t="s">
        <v>136</v>
      </c>
    </row>
    <row r="41" spans="1:15" ht="39.75" customHeight="1">
      <c r="A41" s="105"/>
      <c r="B41" s="120"/>
      <c r="C41" s="94"/>
      <c r="D41" s="16"/>
      <c r="E41" s="67" t="str">
        <f>HYPERLINK(G41, "介護支援専門員更新研修等費用助成金")</f>
        <v>介護支援専門員更新研修等費用助成金</v>
      </c>
      <c r="F41" s="47" t="s">
        <v>10</v>
      </c>
      <c r="G41" s="63" t="s">
        <v>214</v>
      </c>
      <c r="H41" s="127"/>
      <c r="I41" s="114"/>
      <c r="J41" s="90" t="s">
        <v>158</v>
      </c>
      <c r="K41" s="85" t="s">
        <v>181</v>
      </c>
      <c r="L41" s="86" t="s">
        <v>136</v>
      </c>
    </row>
    <row r="42" spans="1:15" ht="66" customHeight="1">
      <c r="A42" s="105"/>
      <c r="B42" s="120"/>
      <c r="C42" s="94"/>
      <c r="D42" s="15"/>
      <c r="E42" s="124" t="s">
        <v>220</v>
      </c>
      <c r="F42" s="125"/>
      <c r="G42" s="75"/>
      <c r="H42" s="127"/>
      <c r="I42" s="114"/>
      <c r="J42" s="90" t="s">
        <v>158</v>
      </c>
      <c r="K42" s="85" t="s">
        <v>181</v>
      </c>
      <c r="L42" s="86" t="s">
        <v>136</v>
      </c>
    </row>
    <row r="43" spans="1:15" ht="39.75" customHeight="1">
      <c r="A43" s="105"/>
      <c r="B43" s="120"/>
      <c r="C43" s="94"/>
      <c r="D43" s="16"/>
      <c r="E43" s="38" t="str">
        <f>HYPERLINK("#", "介護支援専門員資格取得研修等費用助成金")</f>
        <v>介護支援専門員資格取得研修等費用助成金</v>
      </c>
      <c r="F43" s="47" t="s">
        <v>10</v>
      </c>
      <c r="G43" s="63"/>
      <c r="H43" s="127"/>
      <c r="I43" s="114"/>
      <c r="J43" s="90" t="s">
        <v>158</v>
      </c>
      <c r="K43" s="85" t="s">
        <v>181</v>
      </c>
      <c r="L43" s="86" t="s">
        <v>136</v>
      </c>
    </row>
    <row r="44" spans="1:15" ht="66" customHeight="1">
      <c r="A44" s="105"/>
      <c r="B44" s="120"/>
      <c r="C44" s="94"/>
      <c r="D44" s="15"/>
      <c r="E44" s="124" t="s">
        <v>221</v>
      </c>
      <c r="F44" s="125"/>
      <c r="G44" s="75"/>
      <c r="H44" s="128"/>
      <c r="I44" s="115"/>
      <c r="J44" s="90" t="s">
        <v>158</v>
      </c>
      <c r="K44" s="85" t="s">
        <v>181</v>
      </c>
      <c r="L44" s="86" t="s">
        <v>136</v>
      </c>
    </row>
    <row r="45" spans="1:15" s="10" customFormat="1" ht="39" customHeight="1">
      <c r="A45" s="105"/>
      <c r="B45" s="120"/>
      <c r="C45" s="107" t="s">
        <v>138</v>
      </c>
      <c r="D45" s="16"/>
      <c r="E45" s="89" t="str">
        <f>HYPERLINK(G45, "特殊詐欺等被害防止機器購入補助金")</f>
        <v>特殊詐欺等被害防止機器購入補助金</v>
      </c>
      <c r="F45" s="39" t="s">
        <v>10</v>
      </c>
      <c r="G45" s="60" t="s">
        <v>205</v>
      </c>
      <c r="H45" s="112" t="s">
        <v>312</v>
      </c>
      <c r="I45" s="113" t="s">
        <v>310</v>
      </c>
      <c r="J45" s="90" t="s">
        <v>172</v>
      </c>
      <c r="K45" s="85" t="s">
        <v>193</v>
      </c>
      <c r="L45" s="86" t="s">
        <v>113</v>
      </c>
      <c r="M45" s="92"/>
      <c r="O45"/>
    </row>
    <row r="46" spans="1:15" s="10" customFormat="1" ht="75.75" customHeight="1">
      <c r="A46" s="105"/>
      <c r="B46" s="120"/>
      <c r="C46" s="108"/>
      <c r="D46" s="15"/>
      <c r="E46" s="124" t="str">
        <f>E266</f>
        <v>　特殊詐欺等の犯罪被害を未然に防止するため、特殊詐欺等被害防止機器の購入費の一部に対し補助金を交付します。</v>
      </c>
      <c r="F46" s="125"/>
      <c r="G46" s="61"/>
      <c r="H46" s="128"/>
      <c r="I46" s="115"/>
      <c r="J46" s="90" t="s">
        <v>172</v>
      </c>
      <c r="K46" s="85" t="s">
        <v>193</v>
      </c>
      <c r="L46" s="86" t="s">
        <v>113</v>
      </c>
      <c r="M46" s="92"/>
      <c r="O46"/>
    </row>
    <row r="47" spans="1:15" ht="39.75" customHeight="1">
      <c r="A47" s="105"/>
      <c r="B47" s="120"/>
      <c r="C47" s="108"/>
      <c r="D47" s="16"/>
      <c r="E47" s="24" t="s">
        <v>61</v>
      </c>
      <c r="F47" s="47" t="s">
        <v>10</v>
      </c>
      <c r="G47" s="56"/>
      <c r="H47" s="112" t="s">
        <v>316</v>
      </c>
      <c r="I47" s="113" t="s">
        <v>129</v>
      </c>
      <c r="J47" s="90" t="s">
        <v>159</v>
      </c>
      <c r="K47" s="85" t="s">
        <v>181</v>
      </c>
      <c r="L47" s="86" t="s">
        <v>138</v>
      </c>
    </row>
    <row r="48" spans="1:15" ht="66" customHeight="1">
      <c r="A48" s="105"/>
      <c r="B48" s="120"/>
      <c r="C48" s="108"/>
      <c r="D48" s="15"/>
      <c r="E48" s="125" t="s">
        <v>62</v>
      </c>
      <c r="F48" s="152"/>
      <c r="G48" s="56"/>
      <c r="H48" s="110"/>
      <c r="I48" s="114"/>
      <c r="J48" s="90" t="s">
        <v>159</v>
      </c>
      <c r="K48" s="85" t="s">
        <v>181</v>
      </c>
      <c r="L48" s="86" t="s">
        <v>138</v>
      </c>
    </row>
    <row r="49" spans="1:12" ht="39.75" customHeight="1">
      <c r="A49" s="105"/>
      <c r="B49" s="120"/>
      <c r="C49" s="108"/>
      <c r="D49" s="16"/>
      <c r="E49" s="67" t="str">
        <f>HYPERLINK(G49, "高齢者電動アシスト自転車購入補助金")</f>
        <v>高齢者電動アシスト自転車購入補助金</v>
      </c>
      <c r="F49" s="49" t="s">
        <v>10</v>
      </c>
      <c r="G49" s="63" t="str">
        <f>HYPERLINK("#", "https://www.city.ise.mie.jp/kenkou_fukushi/koureisya/shien/1012012.html")</f>
        <v>https://www.city.ise.mie.jp/kenkou_fukushi/koureisya/shien/1012012.html</v>
      </c>
      <c r="H49" s="110"/>
      <c r="I49" s="114"/>
      <c r="J49" s="90" t="s">
        <v>159</v>
      </c>
      <c r="K49" s="85" t="s">
        <v>181</v>
      </c>
      <c r="L49" s="86" t="s">
        <v>138</v>
      </c>
    </row>
    <row r="50" spans="1:12" ht="66" customHeight="1">
      <c r="A50" s="105"/>
      <c r="B50" s="120"/>
      <c r="C50" s="109"/>
      <c r="D50" s="15"/>
      <c r="E50" s="153" t="s">
        <v>130</v>
      </c>
      <c r="F50" s="154"/>
      <c r="G50" s="75"/>
      <c r="H50" s="110"/>
      <c r="I50" s="115"/>
      <c r="J50" s="90" t="s">
        <v>159</v>
      </c>
      <c r="K50" s="85" t="s">
        <v>181</v>
      </c>
      <c r="L50" s="86" t="s">
        <v>138</v>
      </c>
    </row>
    <row r="51" spans="1:12" ht="39.75" customHeight="1">
      <c r="A51" s="105"/>
      <c r="B51" s="120"/>
      <c r="C51" s="107" t="s">
        <v>137</v>
      </c>
      <c r="D51" s="16"/>
      <c r="E51" s="24" t="s">
        <v>55</v>
      </c>
      <c r="F51" s="47" t="s">
        <v>10</v>
      </c>
      <c r="G51" s="56"/>
      <c r="H51" s="110"/>
      <c r="I51" s="113" t="s">
        <v>112</v>
      </c>
      <c r="J51" s="90" t="s">
        <v>159</v>
      </c>
      <c r="K51" s="85" t="s">
        <v>181</v>
      </c>
      <c r="L51" s="86" t="s">
        <v>137</v>
      </c>
    </row>
    <row r="52" spans="1:12" ht="66" customHeight="1">
      <c r="A52" s="105"/>
      <c r="B52" s="120"/>
      <c r="C52" s="108"/>
      <c r="D52" s="15"/>
      <c r="E52" s="152" t="s">
        <v>56</v>
      </c>
      <c r="F52" s="125"/>
      <c r="G52" s="56"/>
      <c r="H52" s="110"/>
      <c r="I52" s="114"/>
      <c r="J52" s="90" t="s">
        <v>159</v>
      </c>
      <c r="K52" s="85" t="s">
        <v>181</v>
      </c>
      <c r="L52" s="86" t="s">
        <v>137</v>
      </c>
    </row>
    <row r="53" spans="1:12" ht="39.75" customHeight="1">
      <c r="A53" s="105"/>
      <c r="B53" s="120"/>
      <c r="C53" s="108"/>
      <c r="D53" s="16"/>
      <c r="E53" s="24" t="s">
        <v>57</v>
      </c>
      <c r="F53" s="47" t="s">
        <v>10</v>
      </c>
      <c r="G53" s="63"/>
      <c r="H53" s="110"/>
      <c r="I53" s="114"/>
      <c r="J53" s="90" t="s">
        <v>159</v>
      </c>
      <c r="K53" s="85" t="s">
        <v>181</v>
      </c>
      <c r="L53" s="86" t="s">
        <v>137</v>
      </c>
    </row>
    <row r="54" spans="1:12" ht="66" customHeight="1">
      <c r="A54" s="105"/>
      <c r="B54" s="120"/>
      <c r="C54" s="108"/>
      <c r="D54" s="15"/>
      <c r="E54" s="152" t="s">
        <v>58</v>
      </c>
      <c r="F54" s="125"/>
      <c r="G54" s="75"/>
      <c r="H54" s="110"/>
      <c r="I54" s="114"/>
      <c r="J54" s="90" t="s">
        <v>159</v>
      </c>
      <c r="K54" s="85" t="s">
        <v>181</v>
      </c>
      <c r="L54" s="86" t="s">
        <v>137</v>
      </c>
    </row>
    <row r="55" spans="1:12" ht="39.75" customHeight="1">
      <c r="A55" s="105"/>
      <c r="B55" s="120"/>
      <c r="C55" s="108"/>
      <c r="D55" s="16"/>
      <c r="E55" s="67" t="str">
        <f>HYPERLINK(G55, "身体障害者用自動車改造費助成金")</f>
        <v>身体障害者用自動車改造費助成金</v>
      </c>
      <c r="F55" s="47" t="s">
        <v>10</v>
      </c>
      <c r="G55" s="56" t="str">
        <f>HYPERLINK("#", "https://www.city.ise.mie.jp/kenkou_fukushi/syougai/shien/seikatsu/1002713.html")</f>
        <v>https://www.city.ise.mie.jp/kenkou_fukushi/syougai/shien/seikatsu/1002713.html</v>
      </c>
      <c r="H55" s="110"/>
      <c r="I55" s="114"/>
      <c r="J55" s="90" t="s">
        <v>159</v>
      </c>
      <c r="K55" s="85" t="s">
        <v>181</v>
      </c>
      <c r="L55" s="86" t="s">
        <v>137</v>
      </c>
    </row>
    <row r="56" spans="1:12" ht="102.75" customHeight="1">
      <c r="A56" s="105"/>
      <c r="B56" s="120"/>
      <c r="C56" s="108"/>
      <c r="D56" s="15"/>
      <c r="E56" s="152" t="s">
        <v>59</v>
      </c>
      <c r="F56" s="125"/>
      <c r="G56" s="56"/>
      <c r="H56" s="110"/>
      <c r="I56" s="114"/>
      <c r="J56" s="90" t="s">
        <v>159</v>
      </c>
      <c r="K56" s="85" t="s">
        <v>181</v>
      </c>
      <c r="L56" s="86" t="s">
        <v>137</v>
      </c>
    </row>
    <row r="57" spans="1:12" ht="39.75" customHeight="1">
      <c r="A57" s="105"/>
      <c r="B57" s="120"/>
      <c r="C57" s="108"/>
      <c r="D57" s="16"/>
      <c r="E57" s="67" t="str">
        <f>HYPERLINK(G57, "身体障害者等福祉車両購入費等助成金")</f>
        <v>身体障害者等福祉車両購入費等助成金</v>
      </c>
      <c r="F57" s="47" t="s">
        <v>10</v>
      </c>
      <c r="G57" s="63" t="str">
        <f>HYPERLINK("#", "https://www.city.ise.mie.jp/kenkou_fukushi/syougai/shien/seikatsu/1011377.html")</f>
        <v>https://www.city.ise.mie.jp/kenkou_fukushi/syougai/shien/seikatsu/1011377.html</v>
      </c>
      <c r="H57" s="110"/>
      <c r="I57" s="114"/>
      <c r="J57" s="90" t="s">
        <v>159</v>
      </c>
      <c r="K57" s="85" t="s">
        <v>181</v>
      </c>
      <c r="L57" s="86" t="s">
        <v>137</v>
      </c>
    </row>
    <row r="58" spans="1:12" ht="102.75" customHeight="1">
      <c r="A58" s="105"/>
      <c r="B58" s="120"/>
      <c r="C58" s="108"/>
      <c r="D58" s="15"/>
      <c r="E58" s="152" t="s">
        <v>131</v>
      </c>
      <c r="F58" s="125"/>
      <c r="G58" s="75"/>
      <c r="H58" s="110"/>
      <c r="I58" s="114"/>
      <c r="J58" s="90" t="s">
        <v>159</v>
      </c>
      <c r="K58" s="85" t="s">
        <v>181</v>
      </c>
      <c r="L58" s="86" t="s">
        <v>137</v>
      </c>
    </row>
    <row r="59" spans="1:12" ht="39.75" customHeight="1">
      <c r="A59" s="105"/>
      <c r="B59" s="120"/>
      <c r="C59" s="108"/>
      <c r="D59" s="16"/>
      <c r="E59" s="67" t="str">
        <f>HYPERLINK(G59, "身体障害者自動車操作訓練費助成金")</f>
        <v>身体障害者自動車操作訓練費助成金</v>
      </c>
      <c r="F59" s="47" t="s">
        <v>10</v>
      </c>
      <c r="G59" s="56" t="str">
        <f>HYPERLINK("#", "https://www.city.ise.mie.jp/kenkou_fukushi/syougai/shien/seikatsu/1002709.html")</f>
        <v>https://www.city.ise.mie.jp/kenkou_fukushi/syougai/shien/seikatsu/1002709.html</v>
      </c>
      <c r="H59" s="110"/>
      <c r="I59" s="114"/>
      <c r="J59" s="90" t="s">
        <v>159</v>
      </c>
      <c r="K59" s="85" t="s">
        <v>181</v>
      </c>
      <c r="L59" s="86" t="s">
        <v>137</v>
      </c>
    </row>
    <row r="60" spans="1:12" ht="113.25" customHeight="1">
      <c r="A60" s="105"/>
      <c r="B60" s="120"/>
      <c r="C60" s="108"/>
      <c r="D60" s="15"/>
      <c r="E60" s="152" t="s">
        <v>132</v>
      </c>
      <c r="F60" s="125"/>
      <c r="G60" s="56"/>
      <c r="H60" s="110"/>
      <c r="I60" s="114"/>
      <c r="J60" s="90" t="s">
        <v>159</v>
      </c>
      <c r="K60" s="85" t="s">
        <v>181</v>
      </c>
      <c r="L60" s="86" t="s">
        <v>137</v>
      </c>
    </row>
    <row r="61" spans="1:12" ht="39.75" customHeight="1">
      <c r="A61" s="105"/>
      <c r="B61" s="120"/>
      <c r="C61" s="108"/>
      <c r="D61" s="16"/>
      <c r="E61" s="101" t="str">
        <f>HYPERLINK(G61, "手話検定試験受験料補助金")</f>
        <v>手話検定試験受験料補助金</v>
      </c>
      <c r="F61" s="47" t="s">
        <v>10</v>
      </c>
      <c r="G61" s="63" t="s">
        <v>300</v>
      </c>
      <c r="H61" s="110"/>
      <c r="I61" s="114"/>
      <c r="J61" s="90" t="s">
        <v>159</v>
      </c>
      <c r="K61" s="85" t="s">
        <v>181</v>
      </c>
      <c r="L61" s="86" t="s">
        <v>137</v>
      </c>
    </row>
    <row r="62" spans="1:12" ht="66" customHeight="1">
      <c r="A62" s="105"/>
      <c r="B62" s="120"/>
      <c r="C62" s="108"/>
      <c r="D62" s="15"/>
      <c r="E62" s="152" t="s">
        <v>60</v>
      </c>
      <c r="F62" s="125"/>
      <c r="G62" s="75"/>
      <c r="H62" s="110"/>
      <c r="I62" s="114"/>
      <c r="J62" s="90" t="s">
        <v>159</v>
      </c>
      <c r="K62" s="85" t="s">
        <v>181</v>
      </c>
      <c r="L62" s="86" t="s">
        <v>137</v>
      </c>
    </row>
    <row r="63" spans="1:12" ht="39.75" customHeight="1">
      <c r="A63" s="105"/>
      <c r="B63" s="120"/>
      <c r="C63" s="108"/>
      <c r="D63" s="16"/>
      <c r="E63" s="67" t="str">
        <f>HYPERLINK(G63, "障害児機能訓練通所交通費助成")</f>
        <v>障害児機能訓練通所交通費助成</v>
      </c>
      <c r="F63" s="47" t="s">
        <v>10</v>
      </c>
      <c r="G63" s="56" t="str">
        <f>HYPERLINK("#", "https://www.city.ise.mie.jp/kenkou_fukushi/syougai/shien/koujo/koutsu/1002686.html")</f>
        <v>https://www.city.ise.mie.jp/kenkou_fukushi/syougai/shien/koujo/koutsu/1002686.html</v>
      </c>
      <c r="H63" s="110"/>
      <c r="I63" s="114"/>
      <c r="J63" s="90" t="s">
        <v>159</v>
      </c>
      <c r="K63" s="85" t="s">
        <v>181</v>
      </c>
      <c r="L63" s="86" t="s">
        <v>137</v>
      </c>
    </row>
    <row r="64" spans="1:12" ht="103.5" customHeight="1">
      <c r="A64" s="105"/>
      <c r="B64" s="120"/>
      <c r="C64" s="108"/>
      <c r="D64" s="15"/>
      <c r="E64" s="152" t="s">
        <v>133</v>
      </c>
      <c r="F64" s="125"/>
      <c r="G64" s="56"/>
      <c r="H64" s="110"/>
      <c r="I64" s="114"/>
      <c r="J64" s="90" t="s">
        <v>159</v>
      </c>
      <c r="K64" s="85" t="s">
        <v>181</v>
      </c>
      <c r="L64" s="86" t="s">
        <v>137</v>
      </c>
    </row>
    <row r="65" spans="1:14" ht="39.75" customHeight="1">
      <c r="A65" s="105"/>
      <c r="B65" s="120"/>
      <c r="C65" s="108"/>
      <c r="D65" s="16"/>
      <c r="E65" s="101" t="str">
        <f>HYPERLINK(G65, "相談支援従事者初任者研修費助成金")</f>
        <v>相談支援従事者初任者研修費助成金</v>
      </c>
      <c r="F65" s="47" t="s">
        <v>10</v>
      </c>
      <c r="G65" s="63" t="s">
        <v>301</v>
      </c>
      <c r="H65" s="110"/>
      <c r="I65" s="114"/>
      <c r="J65" s="90" t="s">
        <v>159</v>
      </c>
      <c r="K65" s="85" t="s">
        <v>181</v>
      </c>
      <c r="L65" s="86" t="s">
        <v>137</v>
      </c>
    </row>
    <row r="66" spans="1:14" ht="103.5" customHeight="1">
      <c r="A66" s="105"/>
      <c r="B66" s="120"/>
      <c r="C66" s="109"/>
      <c r="D66" s="15"/>
      <c r="E66" s="152" t="s">
        <v>308</v>
      </c>
      <c r="F66" s="125"/>
      <c r="G66" s="75"/>
      <c r="H66" s="110"/>
      <c r="I66" s="115"/>
      <c r="J66" s="90" t="s">
        <v>159</v>
      </c>
      <c r="K66" s="85" t="s">
        <v>181</v>
      </c>
      <c r="L66" s="86" t="s">
        <v>137</v>
      </c>
    </row>
    <row r="67" spans="1:14" ht="39.75" customHeight="1">
      <c r="A67" s="105"/>
      <c r="B67" s="120"/>
      <c r="C67" s="107" t="s">
        <v>137</v>
      </c>
      <c r="D67" s="16"/>
      <c r="E67" s="24" t="s">
        <v>105</v>
      </c>
      <c r="F67" s="47" t="s">
        <v>10</v>
      </c>
      <c r="G67" s="56"/>
      <c r="H67" s="110" t="s">
        <v>317</v>
      </c>
      <c r="I67" s="113" t="s">
        <v>112</v>
      </c>
      <c r="J67" s="90" t="s">
        <v>159</v>
      </c>
      <c r="K67" s="85" t="s">
        <v>181</v>
      </c>
      <c r="L67" s="86" t="s">
        <v>137</v>
      </c>
    </row>
    <row r="68" spans="1:14" ht="66" customHeight="1">
      <c r="A68" s="105"/>
      <c r="B68" s="120"/>
      <c r="C68" s="109"/>
      <c r="D68" s="15"/>
      <c r="E68" s="125" t="s">
        <v>111</v>
      </c>
      <c r="F68" s="152"/>
      <c r="G68" s="56"/>
      <c r="H68" s="111"/>
      <c r="I68" s="115"/>
      <c r="J68" s="90" t="s">
        <v>159</v>
      </c>
      <c r="K68" s="85" t="s">
        <v>181</v>
      </c>
      <c r="L68" s="86" t="s">
        <v>137</v>
      </c>
    </row>
    <row r="69" spans="1:14" ht="39.75" customHeight="1">
      <c r="A69" s="105">
        <v>2</v>
      </c>
      <c r="B69" s="120" t="s">
        <v>89</v>
      </c>
      <c r="C69" s="107" t="s">
        <v>146</v>
      </c>
      <c r="D69" s="16"/>
      <c r="E69" s="89" t="str">
        <f>HYPERLINK(G69, "国民健康保険特定健診受診率向上対策助成金")</f>
        <v>国民健康保険特定健診受診率向上対策助成金</v>
      </c>
      <c r="F69" s="47" t="s">
        <v>10</v>
      </c>
      <c r="G69" s="63" t="s">
        <v>218</v>
      </c>
      <c r="H69" s="149" t="s">
        <v>63</v>
      </c>
      <c r="I69" s="151" t="s">
        <v>134</v>
      </c>
      <c r="J69" s="90" t="s">
        <v>160</v>
      </c>
      <c r="K69" s="85" t="s">
        <v>181</v>
      </c>
      <c r="L69" s="86" t="s">
        <v>146</v>
      </c>
    </row>
    <row r="70" spans="1:14" ht="66" customHeight="1">
      <c r="A70" s="105"/>
      <c r="B70" s="120"/>
      <c r="C70" s="108"/>
      <c r="D70" s="18"/>
      <c r="E70" s="124" t="s">
        <v>292</v>
      </c>
      <c r="F70" s="125"/>
      <c r="G70" s="75"/>
      <c r="H70" s="150"/>
      <c r="I70" s="151"/>
      <c r="J70" s="90" t="s">
        <v>160</v>
      </c>
      <c r="K70" s="85" t="s">
        <v>181</v>
      </c>
      <c r="L70" s="86" t="s">
        <v>146</v>
      </c>
    </row>
    <row r="71" spans="1:14" ht="39.75" customHeight="1">
      <c r="A71" s="105"/>
      <c r="B71" s="120"/>
      <c r="C71" s="108"/>
      <c r="D71" s="16"/>
      <c r="E71" s="74" t="str">
        <f>HYPERLINK(G71, "若年者のがん患者在宅支援サービス費助成金")</f>
        <v>若年者のがん患者在宅支援サービス費助成金</v>
      </c>
      <c r="F71" s="47" t="s">
        <v>10</v>
      </c>
      <c r="G71" s="56" t="str">
        <f>HYPERLINK("#", "https://www.city.ise.mie.jp/kenkou_fukushi/kenkou/notice/1014260.html")</f>
        <v>https://www.city.ise.mie.jp/kenkou_fukushi/kenkou/notice/1014260.html</v>
      </c>
      <c r="H71" s="126" t="s">
        <v>50</v>
      </c>
      <c r="I71" s="113" t="s">
        <v>97</v>
      </c>
      <c r="J71" s="90" t="s">
        <v>161</v>
      </c>
      <c r="K71" s="85" t="s">
        <v>181</v>
      </c>
      <c r="L71" s="86" t="s">
        <v>146</v>
      </c>
      <c r="N71" s="10"/>
    </row>
    <row r="72" spans="1:14" ht="66" customHeight="1">
      <c r="A72" s="105"/>
      <c r="B72" s="120"/>
      <c r="C72" s="108"/>
      <c r="D72" s="15"/>
      <c r="E72" s="124" t="s">
        <v>229</v>
      </c>
      <c r="F72" s="125"/>
      <c r="G72" s="54"/>
      <c r="H72" s="127"/>
      <c r="I72" s="114"/>
      <c r="J72" s="90" t="s">
        <v>161</v>
      </c>
      <c r="K72" s="85" t="s">
        <v>181</v>
      </c>
      <c r="L72" s="86" t="s">
        <v>146</v>
      </c>
      <c r="N72" s="10"/>
    </row>
    <row r="73" spans="1:14" ht="39.75" customHeight="1">
      <c r="A73" s="105"/>
      <c r="B73" s="120"/>
      <c r="C73" s="108"/>
      <c r="D73" s="16"/>
      <c r="E73" s="74" t="str">
        <f>HYPERLINK(G73, "がん患者医療用ウィッグ等購入費助成金")</f>
        <v>がん患者医療用ウィッグ等購入費助成金</v>
      </c>
      <c r="F73" s="47" t="s">
        <v>10</v>
      </c>
      <c r="G73" s="56" t="s">
        <v>204</v>
      </c>
      <c r="H73" s="127"/>
      <c r="I73" s="114"/>
      <c r="J73" s="90" t="s">
        <v>161</v>
      </c>
      <c r="K73" s="85" t="s">
        <v>181</v>
      </c>
      <c r="L73" s="86" t="s">
        <v>146</v>
      </c>
      <c r="N73" s="10"/>
    </row>
    <row r="74" spans="1:14" ht="66" customHeight="1">
      <c r="A74" s="105"/>
      <c r="B74" s="120"/>
      <c r="C74" s="108"/>
      <c r="D74" s="15"/>
      <c r="E74" s="158" t="s">
        <v>294</v>
      </c>
      <c r="F74" s="125"/>
      <c r="G74" s="54"/>
      <c r="H74" s="127"/>
      <c r="I74" s="115"/>
      <c r="J74" s="90" t="s">
        <v>161</v>
      </c>
      <c r="K74" s="85" t="s">
        <v>181</v>
      </c>
      <c r="L74" s="86" t="s">
        <v>146</v>
      </c>
      <c r="N74" s="10"/>
    </row>
    <row r="75" spans="1:14" ht="39.75" customHeight="1">
      <c r="A75" s="105"/>
      <c r="B75" s="120"/>
      <c r="C75" s="108"/>
      <c r="D75" s="16"/>
      <c r="E75" s="67" t="str">
        <f>HYPERLINK(G75, "骨髄等移植ドナー支援事業助成金")</f>
        <v>骨髄等移植ドナー支援事業助成金</v>
      </c>
      <c r="F75" s="47" t="s">
        <v>10</v>
      </c>
      <c r="G75" s="63" t="str">
        <f>HYPERLINK("#", "https://www.city.ise.mie.jp/kenkou_fukushi/kenkou/notice/1002488.html")</f>
        <v>https://www.city.ise.mie.jp/kenkou_fukushi/kenkou/notice/1002488.html</v>
      </c>
      <c r="H75" s="127"/>
      <c r="I75" s="113" t="s">
        <v>126</v>
      </c>
      <c r="J75" s="90" t="s">
        <v>161</v>
      </c>
      <c r="K75" s="85" t="s">
        <v>181</v>
      </c>
      <c r="L75" s="86" t="s">
        <v>146</v>
      </c>
      <c r="N75" s="10"/>
    </row>
    <row r="76" spans="1:14" ht="66" customHeight="1">
      <c r="A76" s="105"/>
      <c r="B76" s="120"/>
      <c r="C76" s="108"/>
      <c r="D76" s="15"/>
      <c r="E76" s="124" t="s">
        <v>230</v>
      </c>
      <c r="F76" s="125"/>
      <c r="G76" s="87"/>
      <c r="H76" s="127"/>
      <c r="I76" s="114"/>
      <c r="J76" s="90" t="s">
        <v>161</v>
      </c>
      <c r="K76" s="85" t="s">
        <v>181</v>
      </c>
      <c r="L76" s="86" t="s">
        <v>146</v>
      </c>
      <c r="N76" s="10"/>
    </row>
    <row r="77" spans="1:14" ht="39.75" customHeight="1">
      <c r="A77" s="105"/>
      <c r="B77" s="120"/>
      <c r="C77" s="108"/>
      <c r="D77" s="16"/>
      <c r="E77" s="67" t="str">
        <f>HYPERLINK(G77, "風しん予防接種費助成金")</f>
        <v>風しん予防接種費助成金</v>
      </c>
      <c r="F77" s="47" t="s">
        <v>10</v>
      </c>
      <c r="G77" s="56" t="str">
        <f>HYPERLINK("#", "https://www.city.ise.mie.jp/kenkou_fukushi/kenkou/yobosessyu/1002557.html")</f>
        <v>https://www.city.ise.mie.jp/kenkou_fukushi/kenkou/yobosessyu/1002557.html</v>
      </c>
      <c r="H77" s="127"/>
      <c r="I77" s="114"/>
      <c r="J77" s="90" t="s">
        <v>161</v>
      </c>
      <c r="K77" s="85" t="s">
        <v>181</v>
      </c>
      <c r="L77" s="86" t="s">
        <v>146</v>
      </c>
      <c r="N77" s="10"/>
    </row>
    <row r="78" spans="1:14" ht="66" customHeight="1">
      <c r="A78" s="105"/>
      <c r="B78" s="120"/>
      <c r="C78" s="108"/>
      <c r="D78" s="15"/>
      <c r="E78" s="124" t="s">
        <v>127</v>
      </c>
      <c r="F78" s="125"/>
      <c r="G78" s="54"/>
      <c r="H78" s="127"/>
      <c r="I78" s="114"/>
      <c r="J78" s="90" t="s">
        <v>161</v>
      </c>
      <c r="K78" s="85" t="s">
        <v>181</v>
      </c>
      <c r="L78" s="86" t="s">
        <v>146</v>
      </c>
      <c r="N78" s="10"/>
    </row>
    <row r="79" spans="1:14" ht="39.75" customHeight="1">
      <c r="A79" s="105"/>
      <c r="B79" s="120"/>
      <c r="C79" s="108"/>
      <c r="D79" s="16"/>
      <c r="E79" s="67" t="str">
        <f>HYPERLINK(G79, "骨髄移植等の特別な理由による任意予防接種費用助成金")</f>
        <v>骨髄移植等の特別な理由による任意予防接種費用助成金</v>
      </c>
      <c r="F79" s="47" t="s">
        <v>10</v>
      </c>
      <c r="G79" s="63" t="str">
        <f>HYPERLINK("#", "https://www.city.ise.mie.jp/kenkou_fukushi/kenkou/yobosessyu/1014158.html")</f>
        <v>https://www.city.ise.mie.jp/kenkou_fukushi/kenkou/yobosessyu/1014158.html</v>
      </c>
      <c r="H79" s="127"/>
      <c r="I79" s="114"/>
      <c r="J79" s="90" t="s">
        <v>161</v>
      </c>
      <c r="K79" s="85" t="s">
        <v>181</v>
      </c>
      <c r="L79" s="86" t="s">
        <v>146</v>
      </c>
      <c r="N79" s="10"/>
    </row>
    <row r="80" spans="1:14" ht="66" customHeight="1">
      <c r="A80" s="105"/>
      <c r="B80" s="120"/>
      <c r="C80" s="108"/>
      <c r="D80" s="15"/>
      <c r="E80" s="124" t="s">
        <v>93</v>
      </c>
      <c r="F80" s="125"/>
      <c r="G80" s="61"/>
      <c r="H80" s="127"/>
      <c r="I80" s="114"/>
      <c r="J80" s="90" t="s">
        <v>161</v>
      </c>
      <c r="K80" s="85" t="s">
        <v>181</v>
      </c>
      <c r="L80" s="86" t="s">
        <v>146</v>
      </c>
      <c r="N80" s="10"/>
    </row>
    <row r="81" spans="1:14" ht="39.75" customHeight="1">
      <c r="A81" s="105"/>
      <c r="B81" s="120"/>
      <c r="C81" s="108"/>
      <c r="D81" s="16"/>
      <c r="E81" s="67" t="str">
        <f>HYPERLINK(G81, "予防接種県外接種費用助成金")</f>
        <v>予防接種県外接種費用助成金</v>
      </c>
      <c r="F81" s="47" t="s">
        <v>10</v>
      </c>
      <c r="G81" s="56" t="str">
        <f>HYPERLINK("#", "https://www.city.ise.mie.jp/kosodate/gyosei/kenkou/yobousessyu/1002555.html")</f>
        <v>https://www.city.ise.mie.jp/kosodate/gyosei/kenkou/yobousessyu/1002555.html</v>
      </c>
      <c r="H81" s="127"/>
      <c r="I81" s="114"/>
      <c r="J81" s="90" t="s">
        <v>161</v>
      </c>
      <c r="K81" s="85" t="s">
        <v>181</v>
      </c>
      <c r="L81" s="86" t="s">
        <v>146</v>
      </c>
      <c r="N81" s="10"/>
    </row>
    <row r="82" spans="1:14" ht="66" customHeight="1">
      <c r="A82" s="105"/>
      <c r="B82" s="120"/>
      <c r="C82" s="108"/>
      <c r="D82" s="15"/>
      <c r="E82" s="124" t="s">
        <v>231</v>
      </c>
      <c r="F82" s="125"/>
      <c r="G82" s="57"/>
      <c r="H82" s="127"/>
      <c r="I82" s="114"/>
      <c r="J82" s="90" t="s">
        <v>161</v>
      </c>
      <c r="K82" s="85" t="s">
        <v>181</v>
      </c>
      <c r="L82" s="86" t="s">
        <v>146</v>
      </c>
      <c r="N82" s="10"/>
    </row>
    <row r="83" spans="1:14" ht="39.75" customHeight="1">
      <c r="A83" s="105"/>
      <c r="B83" s="120"/>
      <c r="C83" s="108"/>
      <c r="D83" s="16"/>
      <c r="E83" s="67" t="str">
        <f>HYPERLINK(G83, "帯状疱疹予防接種費助成金")</f>
        <v>帯状疱疹予防接種費助成金</v>
      </c>
      <c r="F83" s="48" t="s">
        <v>101</v>
      </c>
      <c r="G83" s="63" t="str">
        <f>HYPERLINK("#", "https://www.city.ise.mie.jp/kenkou_fukushi/kenkou/yobosessyu/1017012.html")</f>
        <v>https://www.city.ise.mie.jp/kenkou_fukushi/kenkou/yobosessyu/1017012.html</v>
      </c>
      <c r="H83" s="127"/>
      <c r="I83" s="114"/>
      <c r="J83" s="90" t="s">
        <v>161</v>
      </c>
      <c r="K83" s="85" t="s">
        <v>181</v>
      </c>
      <c r="L83" s="86" t="s">
        <v>146</v>
      </c>
      <c r="N83" s="10"/>
    </row>
    <row r="84" spans="1:14" ht="66" customHeight="1">
      <c r="A84" s="105"/>
      <c r="B84" s="120"/>
      <c r="C84" s="108"/>
      <c r="D84" s="15"/>
      <c r="E84" s="124" t="s">
        <v>232</v>
      </c>
      <c r="F84" s="125"/>
      <c r="G84" s="87"/>
      <c r="H84" s="127"/>
      <c r="I84" s="114"/>
      <c r="J84" s="90" t="s">
        <v>161</v>
      </c>
      <c r="K84" s="85" t="s">
        <v>181</v>
      </c>
      <c r="L84" s="86" t="s">
        <v>146</v>
      </c>
      <c r="N84" s="10"/>
    </row>
    <row r="85" spans="1:14" ht="39.75" customHeight="1">
      <c r="A85" s="105"/>
      <c r="B85" s="120"/>
      <c r="C85" s="108"/>
      <c r="D85" s="16"/>
      <c r="E85" s="67" t="str">
        <f>HYPERLINK(G85, "おたふくかぜ予防接種費助成金")</f>
        <v>おたふくかぜ予防接種費助成金</v>
      </c>
      <c r="F85" s="48" t="s">
        <v>101</v>
      </c>
      <c r="G85" s="56" t="str">
        <f>HYPERLINK("#", "https://www.city.ise.mie.jp/kosodate/gyosei/kenkou/yobousessyu/1017019.html")</f>
        <v>https://www.city.ise.mie.jp/kosodate/gyosei/kenkou/yobousessyu/1017019.html</v>
      </c>
      <c r="H85" s="127"/>
      <c r="I85" s="114"/>
      <c r="J85" s="90" t="s">
        <v>161</v>
      </c>
      <c r="K85" s="85" t="s">
        <v>181</v>
      </c>
      <c r="L85" s="86" t="s">
        <v>146</v>
      </c>
      <c r="N85" s="10"/>
    </row>
    <row r="86" spans="1:14" ht="66" customHeight="1">
      <c r="A86" s="123"/>
      <c r="B86" s="122"/>
      <c r="C86" s="109"/>
      <c r="D86" s="15"/>
      <c r="E86" s="124" t="s">
        <v>233</v>
      </c>
      <c r="F86" s="125"/>
      <c r="G86" s="75"/>
      <c r="H86" s="128"/>
      <c r="I86" s="115"/>
      <c r="J86" s="90" t="s">
        <v>161</v>
      </c>
      <c r="K86" s="85" t="s">
        <v>181</v>
      </c>
      <c r="L86" s="86" t="s">
        <v>146</v>
      </c>
      <c r="N86" s="10"/>
    </row>
    <row r="87" spans="1:14" ht="39.75" customHeight="1">
      <c r="A87" s="104">
        <v>3</v>
      </c>
      <c r="B87" s="119" t="s">
        <v>293</v>
      </c>
      <c r="C87" s="116" t="s">
        <v>139</v>
      </c>
      <c r="D87" s="28"/>
      <c r="E87" s="67" t="str">
        <f>HYPERLINK(G87, "妊産婦支援給付金")</f>
        <v>妊産婦支援給付金</v>
      </c>
      <c r="F87" s="50" t="s">
        <v>10</v>
      </c>
      <c r="G87" s="56" t="str">
        <f>HYPERLINK("#", "https://www.city.ise.mie.jp/kosodate/gyosei/n_josei/1015011.html")</f>
        <v>https://www.city.ise.mie.jp/kosodate/gyosei/n_josei/1015011.html</v>
      </c>
      <c r="H87" s="126" t="s">
        <v>50</v>
      </c>
      <c r="I87" s="113" t="s">
        <v>51</v>
      </c>
      <c r="J87" s="90" t="s">
        <v>161</v>
      </c>
      <c r="K87" s="85" t="s">
        <v>182</v>
      </c>
      <c r="L87" s="86" t="s">
        <v>139</v>
      </c>
    </row>
    <row r="88" spans="1:14" ht="75.75" customHeight="1">
      <c r="A88" s="105"/>
      <c r="B88" s="120"/>
      <c r="C88" s="117"/>
      <c r="D88" s="15"/>
      <c r="E88" s="124" t="s">
        <v>234</v>
      </c>
      <c r="F88" s="125"/>
      <c r="G88" s="56"/>
      <c r="H88" s="127"/>
      <c r="I88" s="114"/>
      <c r="J88" s="90" t="s">
        <v>161</v>
      </c>
      <c r="K88" s="85" t="s">
        <v>182</v>
      </c>
      <c r="L88" s="86" t="s">
        <v>139</v>
      </c>
    </row>
    <row r="89" spans="1:14" ht="39.75" customHeight="1">
      <c r="A89" s="105"/>
      <c r="B89" s="120"/>
      <c r="C89" s="117"/>
      <c r="D89" s="16"/>
      <c r="E89" s="67" t="str">
        <f>HYPERLINK(G89, "不妊不育治療費助成金")</f>
        <v>不妊不育治療費助成金</v>
      </c>
      <c r="F89" s="47" t="s">
        <v>10</v>
      </c>
      <c r="G89" s="56" t="str">
        <f>HYPERLINK("#", "https://www.city.ise.mie.jp/kosodate/gyosei/n_josei/1016253/1014115.html")</f>
        <v>https://www.city.ise.mie.jp/kosodate/gyosei/n_josei/1016253/1014115.html</v>
      </c>
      <c r="H89" s="127"/>
      <c r="I89" s="114"/>
      <c r="J89" s="90" t="s">
        <v>161</v>
      </c>
      <c r="K89" s="85" t="s">
        <v>182</v>
      </c>
      <c r="L89" s="86" t="s">
        <v>139</v>
      </c>
    </row>
    <row r="90" spans="1:14" ht="66" customHeight="1">
      <c r="A90" s="105"/>
      <c r="B90" s="120"/>
      <c r="C90" s="117"/>
      <c r="D90" s="15"/>
      <c r="E90" s="124" t="s">
        <v>235</v>
      </c>
      <c r="F90" s="125"/>
      <c r="G90" s="56"/>
      <c r="H90" s="127"/>
      <c r="I90" s="114"/>
      <c r="J90" s="90" t="s">
        <v>161</v>
      </c>
      <c r="K90" s="85" t="s">
        <v>182</v>
      </c>
      <c r="L90" s="86" t="s">
        <v>139</v>
      </c>
    </row>
    <row r="91" spans="1:14" ht="39.75" customHeight="1">
      <c r="A91" s="105"/>
      <c r="B91" s="120"/>
      <c r="C91" s="117"/>
      <c r="D91" s="16"/>
      <c r="E91" s="67" t="str">
        <f>HYPERLINK(G91, "特定不妊治療助成事業")</f>
        <v>特定不妊治療助成事業</v>
      </c>
      <c r="F91" s="47" t="s">
        <v>10</v>
      </c>
      <c r="G91" s="63" t="str">
        <f>HYPERLINK("#", "https://www.city.ise.mie.jp/kosodate/gyosei/n_josei/1016253/1016247.html")</f>
        <v>https://www.city.ise.mie.jp/kosodate/gyosei/n_josei/1016253/1016247.html</v>
      </c>
      <c r="H91" s="127"/>
      <c r="I91" s="114"/>
      <c r="J91" s="90" t="s">
        <v>161</v>
      </c>
      <c r="K91" s="85" t="s">
        <v>182</v>
      </c>
      <c r="L91" s="86" t="s">
        <v>139</v>
      </c>
    </row>
    <row r="92" spans="1:14" ht="66" customHeight="1">
      <c r="A92" s="105"/>
      <c r="B92" s="120"/>
      <c r="C92" s="117"/>
      <c r="D92" s="15"/>
      <c r="E92" s="124" t="s">
        <v>236</v>
      </c>
      <c r="F92" s="125"/>
      <c r="G92" s="75"/>
      <c r="H92" s="127"/>
      <c r="I92" s="114"/>
      <c r="J92" s="90" t="s">
        <v>161</v>
      </c>
      <c r="K92" s="85" t="s">
        <v>182</v>
      </c>
      <c r="L92" s="86" t="s">
        <v>139</v>
      </c>
    </row>
    <row r="93" spans="1:14" ht="39.75" customHeight="1">
      <c r="A93" s="105"/>
      <c r="B93" s="120"/>
      <c r="C93" s="117"/>
      <c r="D93" s="16"/>
      <c r="E93" s="89" t="str">
        <f>HYPERLINK(G93, "初回産科受診費助成事業")</f>
        <v>初回産科受診費助成事業</v>
      </c>
      <c r="F93" s="47" t="s">
        <v>10</v>
      </c>
      <c r="G93" s="56" t="s">
        <v>197</v>
      </c>
      <c r="H93" s="127"/>
      <c r="I93" s="114"/>
      <c r="J93" s="90" t="s">
        <v>161</v>
      </c>
      <c r="K93" s="85" t="s">
        <v>182</v>
      </c>
      <c r="L93" s="86" t="s">
        <v>139</v>
      </c>
    </row>
    <row r="94" spans="1:14" ht="66" customHeight="1">
      <c r="A94" s="105"/>
      <c r="B94" s="120"/>
      <c r="C94" s="117"/>
      <c r="D94" s="15"/>
      <c r="E94" s="124" t="s">
        <v>237</v>
      </c>
      <c r="F94" s="125"/>
      <c r="G94" s="56"/>
      <c r="H94" s="127"/>
      <c r="I94" s="114"/>
      <c r="J94" s="90" t="s">
        <v>161</v>
      </c>
      <c r="K94" s="85" t="s">
        <v>182</v>
      </c>
      <c r="L94" s="86" t="s">
        <v>139</v>
      </c>
    </row>
    <row r="95" spans="1:14" ht="39.75" customHeight="1">
      <c r="A95" s="105"/>
      <c r="B95" s="120"/>
      <c r="C95" s="117"/>
      <c r="D95" s="16"/>
      <c r="E95" s="67" t="str">
        <f>HYPERLINK(G95, "妊婦一般健康診査多胎妊婦追加受診費助成金")</f>
        <v>妊婦一般健康診査多胎妊婦追加受診費助成金</v>
      </c>
      <c r="F95" s="47" t="s">
        <v>10</v>
      </c>
      <c r="G95" s="63" t="str">
        <f>HYPERLINK("#", "https://www.city.ise.mie.jp/kosodate/gyosei/n_josei/1011678.html")</f>
        <v>https://www.city.ise.mie.jp/kosodate/gyosei/n_josei/1011678.html</v>
      </c>
      <c r="H95" s="127"/>
      <c r="I95" s="114"/>
      <c r="J95" s="90" t="s">
        <v>161</v>
      </c>
      <c r="K95" s="85" t="s">
        <v>182</v>
      </c>
      <c r="L95" s="86" t="s">
        <v>139</v>
      </c>
    </row>
    <row r="96" spans="1:14" ht="66" customHeight="1">
      <c r="A96" s="105"/>
      <c r="B96" s="120"/>
      <c r="C96" s="117"/>
      <c r="D96" s="15"/>
      <c r="E96" s="124" t="s">
        <v>238</v>
      </c>
      <c r="F96" s="125"/>
      <c r="G96" s="75"/>
      <c r="H96" s="127"/>
      <c r="I96" s="114"/>
      <c r="J96" s="90" t="s">
        <v>161</v>
      </c>
      <c r="K96" s="85" t="s">
        <v>182</v>
      </c>
      <c r="L96" s="86" t="s">
        <v>139</v>
      </c>
    </row>
    <row r="97" spans="1:14" ht="39.75" customHeight="1">
      <c r="A97" s="105"/>
      <c r="B97" s="120"/>
      <c r="C97" s="117"/>
      <c r="D97" s="16"/>
      <c r="E97" s="67" t="str">
        <f>HYPERLINK(G97, "妊婦一般健康診査県外受診費助成金")</f>
        <v>妊婦一般健康診査県外受診費助成金</v>
      </c>
      <c r="F97" s="47" t="s">
        <v>10</v>
      </c>
      <c r="G97" s="56" t="str">
        <f>HYPERLINK("#", "https://www.city.ise.mie.jp/kosodate/gyosei/kenkou/mother/1002521.html")</f>
        <v>https://www.city.ise.mie.jp/kosodate/gyosei/kenkou/mother/1002521.html</v>
      </c>
      <c r="H97" s="127"/>
      <c r="I97" s="114"/>
      <c r="J97" s="90" t="s">
        <v>161</v>
      </c>
      <c r="K97" s="85" t="s">
        <v>182</v>
      </c>
      <c r="L97" s="86" t="s">
        <v>139</v>
      </c>
    </row>
    <row r="98" spans="1:14" ht="66" customHeight="1">
      <c r="A98" s="105"/>
      <c r="B98" s="120"/>
      <c r="C98" s="117"/>
      <c r="D98" s="15"/>
      <c r="E98" s="124" t="s">
        <v>239</v>
      </c>
      <c r="F98" s="125"/>
      <c r="G98" s="56"/>
      <c r="H98" s="127"/>
      <c r="I98" s="114"/>
      <c r="J98" s="90" t="s">
        <v>161</v>
      </c>
      <c r="K98" s="85" t="s">
        <v>182</v>
      </c>
      <c r="L98" s="86" t="s">
        <v>139</v>
      </c>
    </row>
    <row r="99" spans="1:14" ht="39.75" customHeight="1">
      <c r="A99" s="105"/>
      <c r="B99" s="120"/>
      <c r="C99" s="117"/>
      <c r="D99" s="16"/>
      <c r="E99" s="67" t="str">
        <f>HYPERLINK(G99, "産婦および１か月児健康診査費助成金")</f>
        <v>産婦および１か月児健康診査費助成金</v>
      </c>
      <c r="F99" s="47" t="s">
        <v>10</v>
      </c>
      <c r="G99" s="63" t="str">
        <f>HYPERLINK("#", "https://www.city.ise.mie.jp/kosodate/gyosei/kenkou/kenshin/1002518.html")</f>
        <v>https://www.city.ise.mie.jp/kosodate/gyosei/kenkou/kenshin/1002518.html</v>
      </c>
      <c r="H99" s="127"/>
      <c r="I99" s="114"/>
      <c r="J99" s="90" t="s">
        <v>161</v>
      </c>
      <c r="K99" s="85" t="s">
        <v>182</v>
      </c>
      <c r="L99" s="86" t="s">
        <v>139</v>
      </c>
    </row>
    <row r="100" spans="1:14" ht="66" customHeight="1">
      <c r="A100" s="105"/>
      <c r="B100" s="120"/>
      <c r="C100" s="117"/>
      <c r="D100" s="15"/>
      <c r="E100" s="124" t="s">
        <v>240</v>
      </c>
      <c r="F100" s="125"/>
      <c r="G100" s="75"/>
      <c r="H100" s="127"/>
      <c r="I100" s="114"/>
      <c r="J100" s="90" t="s">
        <v>161</v>
      </c>
      <c r="K100" s="85" t="s">
        <v>182</v>
      </c>
      <c r="L100" s="86" t="s">
        <v>139</v>
      </c>
    </row>
    <row r="101" spans="1:14" ht="39.75" customHeight="1">
      <c r="A101" s="105"/>
      <c r="B101" s="120"/>
      <c r="C101" s="117"/>
      <c r="D101" s="16"/>
      <c r="E101" s="67" t="str">
        <f>HYPERLINK(G101, "新生児聴覚スクリーニング検査費助成金")</f>
        <v>新生児聴覚スクリーニング検査費助成金</v>
      </c>
      <c r="F101" s="47" t="s">
        <v>10</v>
      </c>
      <c r="G101" s="63" t="str">
        <f>HYPERLINK("#", "https://www.city.ise.mie.jp/kosodate/gyosei/kenkou/kenshin/1002492.html")</f>
        <v>https://www.city.ise.mie.jp/kosodate/gyosei/kenkou/kenshin/1002492.html</v>
      </c>
      <c r="H101" s="127"/>
      <c r="I101" s="114"/>
      <c r="J101" s="90" t="s">
        <v>161</v>
      </c>
      <c r="K101" s="85" t="s">
        <v>182</v>
      </c>
      <c r="L101" s="86" t="s">
        <v>139</v>
      </c>
    </row>
    <row r="102" spans="1:14" ht="66" customHeight="1">
      <c r="A102" s="123"/>
      <c r="B102" s="122"/>
      <c r="C102" s="118"/>
      <c r="D102" s="15"/>
      <c r="E102" s="124" t="s">
        <v>241</v>
      </c>
      <c r="F102" s="125"/>
      <c r="G102" s="75"/>
      <c r="H102" s="127"/>
      <c r="I102" s="115"/>
      <c r="J102" s="90" t="s">
        <v>161</v>
      </c>
      <c r="K102" s="85" t="s">
        <v>182</v>
      </c>
      <c r="L102" s="86" t="s">
        <v>139</v>
      </c>
    </row>
    <row r="103" spans="1:14" ht="39.75" customHeight="1">
      <c r="A103" s="104">
        <v>3</v>
      </c>
      <c r="B103" s="119" t="s">
        <v>293</v>
      </c>
      <c r="C103" s="116" t="s">
        <v>139</v>
      </c>
      <c r="D103" s="16"/>
      <c r="E103" s="67" t="str">
        <f>HYPERLINK(G103, "【再掲】風しん予防接種費助成金")</f>
        <v>【再掲】風しん予防接種費助成金</v>
      </c>
      <c r="F103" s="47" t="s">
        <v>10</v>
      </c>
      <c r="G103" s="56" t="str">
        <f>HYPERLINK("#", "https://www.city.ise.mie.jp/kenkou_fukushi/kenkou/yobosessyu/1002557.html")</f>
        <v>https://www.city.ise.mie.jp/kenkou_fukushi/kenkou/yobosessyu/1002557.html</v>
      </c>
      <c r="H103" s="127"/>
      <c r="I103" s="113" t="s">
        <v>208</v>
      </c>
      <c r="J103" s="90" t="s">
        <v>161</v>
      </c>
      <c r="K103" s="85" t="s">
        <v>181</v>
      </c>
      <c r="L103" s="86" t="s">
        <v>146</v>
      </c>
      <c r="N103" s="10"/>
    </row>
    <row r="104" spans="1:14" ht="66" customHeight="1">
      <c r="A104" s="105"/>
      <c r="B104" s="120"/>
      <c r="C104" s="117"/>
      <c r="D104" s="15"/>
      <c r="E104" s="124" t="str">
        <f>E78</f>
        <v>　風しんの抗体価が低い妊娠を希望する女性等が風しん予防接種を受ける場合に費用の一部を助成します。（上限5,000円）</v>
      </c>
      <c r="F104" s="125"/>
      <c r="G104" s="54"/>
      <c r="H104" s="127"/>
      <c r="I104" s="114"/>
      <c r="J104" s="90" t="s">
        <v>161</v>
      </c>
      <c r="K104" s="85" t="s">
        <v>181</v>
      </c>
      <c r="L104" s="86" t="s">
        <v>146</v>
      </c>
      <c r="N104" s="10"/>
    </row>
    <row r="105" spans="1:14" ht="39.75" customHeight="1">
      <c r="A105" s="105"/>
      <c r="B105" s="120"/>
      <c r="C105" s="117"/>
      <c r="D105" s="16"/>
      <c r="E105" s="67" t="str">
        <f>HYPERLINK(G105, "【再掲】予防接種県外接種費用助成金")</f>
        <v>【再掲】予防接種県外接種費用助成金</v>
      </c>
      <c r="F105" s="47" t="s">
        <v>10</v>
      </c>
      <c r="G105" s="56" t="str">
        <f>HYPERLINK("#", "https://www.city.ise.mie.jp/kosodate/gyosei/kenkou/yobousessyu/1002555.html")</f>
        <v>https://www.city.ise.mie.jp/kosodate/gyosei/kenkou/yobousessyu/1002555.html</v>
      </c>
      <c r="H105" s="127"/>
      <c r="I105" s="114"/>
      <c r="J105" s="90" t="s">
        <v>161</v>
      </c>
      <c r="K105" s="85" t="s">
        <v>181</v>
      </c>
      <c r="L105" s="86" t="s">
        <v>146</v>
      </c>
      <c r="N105" s="10"/>
    </row>
    <row r="106" spans="1:14" ht="66" customHeight="1">
      <c r="A106" s="105"/>
      <c r="B106" s="120"/>
      <c r="C106" s="118"/>
      <c r="D106" s="15"/>
      <c r="E106" s="124" t="str">
        <f>E82</f>
        <v>　里帰り等の理由により県外の医療機関で子どもの定期予防接種を受ける場合の接種費用を助成します。</v>
      </c>
      <c r="F106" s="125"/>
      <c r="G106" s="57"/>
      <c r="H106" s="128"/>
      <c r="I106" s="115"/>
      <c r="J106" s="90" t="s">
        <v>161</v>
      </c>
      <c r="K106" s="85" t="s">
        <v>181</v>
      </c>
      <c r="L106" s="86" t="s">
        <v>146</v>
      </c>
      <c r="N106" s="10"/>
    </row>
    <row r="107" spans="1:14" ht="39.75" customHeight="1">
      <c r="A107" s="105"/>
      <c r="B107" s="120"/>
      <c r="C107" s="116" t="s">
        <v>140</v>
      </c>
      <c r="D107" s="16"/>
      <c r="E107" s="67" t="str">
        <f>HYPERLINK(G107, "【再掲】おたふくかぜ予防接種費助成金")</f>
        <v>【再掲】おたふくかぜ予防接種費助成金</v>
      </c>
      <c r="F107" s="48" t="s">
        <v>101</v>
      </c>
      <c r="G107" s="56" t="str">
        <f>HYPERLINK("#", "https://www.city.ise.mie.jp/kosodate/gyosei/kenkou/yobousessyu/1017019.html")</f>
        <v>https://www.city.ise.mie.jp/kosodate/gyosei/kenkou/yobousessyu/1017019.html</v>
      </c>
      <c r="H107" s="126" t="s">
        <v>50</v>
      </c>
      <c r="I107" s="113" t="s">
        <v>148</v>
      </c>
      <c r="J107" s="90" t="s">
        <v>161</v>
      </c>
      <c r="K107" s="85" t="s">
        <v>182</v>
      </c>
      <c r="L107" s="86" t="s">
        <v>140</v>
      </c>
      <c r="N107" s="10"/>
    </row>
    <row r="108" spans="1:14" ht="66" customHeight="1">
      <c r="A108" s="105"/>
      <c r="B108" s="120"/>
      <c r="C108" s="117"/>
      <c r="D108" s="15"/>
      <c r="E108" s="124" t="str">
        <f>E86</f>
        <v>　就学前の児童を対象に、おたふくかぜ予防接種を受ける場合に費用の一部を助成します。</v>
      </c>
      <c r="F108" s="125"/>
      <c r="G108" s="56"/>
      <c r="H108" s="128"/>
      <c r="I108" s="115"/>
      <c r="J108" s="90" t="s">
        <v>161</v>
      </c>
      <c r="K108" s="85" t="s">
        <v>182</v>
      </c>
      <c r="L108" s="86" t="s">
        <v>140</v>
      </c>
      <c r="N108" s="10"/>
    </row>
    <row r="109" spans="1:14" ht="39.75" customHeight="1">
      <c r="A109" s="105"/>
      <c r="B109" s="120"/>
      <c r="C109" s="117"/>
      <c r="D109" s="16"/>
      <c r="E109" s="67" t="str">
        <f>HYPERLINK(G109, "自立支援教育訓練給付金事業補助金")</f>
        <v>自立支援教育訓練給付金事業補助金</v>
      </c>
      <c r="F109" s="43" t="s">
        <v>10</v>
      </c>
      <c r="G109" s="63" t="str">
        <f>HYPERLINK("#", "https://www.city.ise.mie.jp/kosodate/gyosei/hitorioya/1002280.html")</f>
        <v>https://www.city.ise.mie.jp/kosodate/gyosei/hitorioya/1002280.html</v>
      </c>
      <c r="H109" s="129" t="s">
        <v>128</v>
      </c>
      <c r="I109" s="113" t="s">
        <v>98</v>
      </c>
      <c r="J109" s="90" t="s">
        <v>162</v>
      </c>
      <c r="K109" s="85" t="s">
        <v>182</v>
      </c>
      <c r="L109" s="86" t="s">
        <v>140</v>
      </c>
    </row>
    <row r="110" spans="1:14" ht="66" customHeight="1">
      <c r="A110" s="105"/>
      <c r="B110" s="120"/>
      <c r="C110" s="117"/>
      <c r="D110" s="15"/>
      <c r="E110" s="124" t="s">
        <v>242</v>
      </c>
      <c r="F110" s="125"/>
      <c r="G110" s="75"/>
      <c r="H110" s="130"/>
      <c r="I110" s="114"/>
      <c r="J110" s="90" t="s">
        <v>162</v>
      </c>
      <c r="K110" s="85" t="s">
        <v>182</v>
      </c>
      <c r="L110" s="86" t="s">
        <v>140</v>
      </c>
    </row>
    <row r="111" spans="1:14" ht="39.75" customHeight="1">
      <c r="A111" s="105"/>
      <c r="B111" s="120"/>
      <c r="C111" s="117"/>
      <c r="D111" s="16"/>
      <c r="E111" s="67" t="str">
        <f>HYPERLINK(G111, "高等職業訓練促進給付金等事業補助金")</f>
        <v>高等職業訓練促進給付金等事業補助金</v>
      </c>
      <c r="F111" s="43" t="s">
        <v>10</v>
      </c>
      <c r="G111" s="56" t="str">
        <f>HYPERLINK("#", "https://www.city.ise.mie.jp/kosodate/gyosei/hitorioya/1002277.html")</f>
        <v>https://www.city.ise.mie.jp/kosodate/gyosei/hitorioya/1002277.html</v>
      </c>
      <c r="H111" s="130"/>
      <c r="I111" s="114"/>
      <c r="J111" s="90" t="s">
        <v>162</v>
      </c>
      <c r="K111" s="85" t="s">
        <v>182</v>
      </c>
      <c r="L111" s="86" t="s">
        <v>140</v>
      </c>
    </row>
    <row r="112" spans="1:14" ht="66" customHeight="1">
      <c r="A112" s="105"/>
      <c r="B112" s="120"/>
      <c r="C112" s="117"/>
      <c r="D112" s="15"/>
      <c r="E112" s="124" t="s">
        <v>243</v>
      </c>
      <c r="F112" s="125"/>
      <c r="G112" s="56"/>
      <c r="H112" s="130"/>
      <c r="I112" s="114"/>
      <c r="J112" s="90" t="s">
        <v>162</v>
      </c>
      <c r="K112" s="85" t="s">
        <v>182</v>
      </c>
      <c r="L112" s="86" t="s">
        <v>140</v>
      </c>
    </row>
    <row r="113" spans="1:15" ht="42" customHeight="1">
      <c r="A113" s="105"/>
      <c r="B113" s="120"/>
      <c r="C113" s="117"/>
      <c r="D113" s="16"/>
      <c r="E113" s="67" t="str">
        <f>HYPERLINK(G113, "ひとり親家庭高等学校卒業程度認定試験合格支援事業")</f>
        <v>ひとり親家庭高等学校卒業程度認定試験合格支援事業</v>
      </c>
      <c r="F113" s="42" t="s">
        <v>10</v>
      </c>
      <c r="G113" s="63" t="str">
        <f>HYPERLINK("#", "https://www.city.ise.mie.jp/kosodate/gyosei/hitorioya/1002275.html")</f>
        <v>https://www.city.ise.mie.jp/kosodate/gyosei/hitorioya/1002275.html</v>
      </c>
      <c r="H113" s="130"/>
      <c r="I113" s="114"/>
      <c r="J113" s="90" t="s">
        <v>162</v>
      </c>
      <c r="K113" s="85" t="s">
        <v>182</v>
      </c>
      <c r="L113" s="86" t="s">
        <v>140</v>
      </c>
    </row>
    <row r="114" spans="1:15" ht="66" customHeight="1">
      <c r="A114" s="105"/>
      <c r="B114" s="120"/>
      <c r="C114" s="117"/>
      <c r="D114" s="18"/>
      <c r="E114" s="124" t="s">
        <v>244</v>
      </c>
      <c r="F114" s="125"/>
      <c r="G114" s="75"/>
      <c r="H114" s="130"/>
      <c r="I114" s="114"/>
      <c r="J114" s="90" t="s">
        <v>162</v>
      </c>
      <c r="K114" s="85" t="s">
        <v>182</v>
      </c>
      <c r="L114" s="86" t="s">
        <v>140</v>
      </c>
    </row>
    <row r="115" spans="1:15" ht="42" customHeight="1">
      <c r="A115" s="105"/>
      <c r="B115" s="120"/>
      <c r="C115" s="117"/>
      <c r="D115" s="16"/>
      <c r="E115" s="67" t="str">
        <f>HYPERLINK(G115, "養育費確保等支援事業補助金")</f>
        <v>養育費確保等支援事業補助金</v>
      </c>
      <c r="F115" s="42" t="s">
        <v>10</v>
      </c>
      <c r="G115" s="56" t="str">
        <f>HYPERLINK("#", "https://www.city.ise.mie.jp/kosodate/gyosei/hitorioya/1013804.html")</f>
        <v>https://www.city.ise.mie.jp/kosodate/gyosei/hitorioya/1013804.html</v>
      </c>
      <c r="H115" s="130"/>
      <c r="I115" s="114"/>
      <c r="J115" s="90" t="s">
        <v>162</v>
      </c>
      <c r="K115" s="85" t="s">
        <v>182</v>
      </c>
      <c r="L115" s="86" t="s">
        <v>140</v>
      </c>
    </row>
    <row r="116" spans="1:15" ht="66" customHeight="1">
      <c r="A116" s="105"/>
      <c r="B116" s="120"/>
      <c r="C116" s="117"/>
      <c r="D116" s="18"/>
      <c r="E116" s="124" t="s">
        <v>245</v>
      </c>
      <c r="F116" s="125"/>
      <c r="G116" s="56"/>
      <c r="H116" s="130"/>
      <c r="I116" s="114"/>
      <c r="J116" s="90" t="s">
        <v>162</v>
      </c>
      <c r="K116" s="85" t="s">
        <v>182</v>
      </c>
      <c r="L116" s="86" t="s">
        <v>140</v>
      </c>
    </row>
    <row r="117" spans="1:15" ht="42" customHeight="1">
      <c r="A117" s="105"/>
      <c r="B117" s="120"/>
      <c r="C117" s="117"/>
      <c r="D117" s="16"/>
      <c r="E117" s="89" t="str">
        <f>HYPERLINK(G117, "子どもの学習塾利用助成事業")</f>
        <v>子どもの学習塾利用助成事業</v>
      </c>
      <c r="F117" s="40" t="s">
        <v>78</v>
      </c>
      <c r="G117" s="56" t="s">
        <v>303</v>
      </c>
      <c r="H117" s="130"/>
      <c r="I117" s="114"/>
      <c r="J117" s="90" t="s">
        <v>162</v>
      </c>
      <c r="K117" s="85" t="s">
        <v>182</v>
      </c>
      <c r="L117" s="86" t="s">
        <v>140</v>
      </c>
    </row>
    <row r="118" spans="1:15" ht="66" customHeight="1">
      <c r="A118" s="105"/>
      <c r="B118" s="120"/>
      <c r="C118" s="117"/>
      <c r="D118" s="18"/>
      <c r="E118" s="124" t="s">
        <v>246</v>
      </c>
      <c r="F118" s="125"/>
      <c r="G118" s="75"/>
      <c r="H118" s="130"/>
      <c r="I118" s="114"/>
      <c r="J118" s="90" t="s">
        <v>162</v>
      </c>
      <c r="K118" s="85" t="s">
        <v>182</v>
      </c>
      <c r="L118" s="86" t="s">
        <v>140</v>
      </c>
    </row>
    <row r="119" spans="1:15" ht="42" customHeight="1">
      <c r="A119" s="105"/>
      <c r="B119" s="120"/>
      <c r="C119" s="117"/>
      <c r="D119" s="16"/>
      <c r="E119" s="89" t="str">
        <f>HYPERLINK(G119, "大学受験料等支援事業補助金")</f>
        <v>大学受験料等支援事業補助金</v>
      </c>
      <c r="F119" s="40" t="s">
        <v>78</v>
      </c>
      <c r="G119" s="63" t="s">
        <v>217</v>
      </c>
      <c r="H119" s="130"/>
      <c r="I119" s="114"/>
      <c r="J119" s="90" t="s">
        <v>162</v>
      </c>
      <c r="K119" s="85" t="s">
        <v>182</v>
      </c>
      <c r="L119" s="86" t="s">
        <v>140</v>
      </c>
    </row>
    <row r="120" spans="1:15" ht="66" customHeight="1">
      <c r="A120" s="105"/>
      <c r="B120" s="120"/>
      <c r="C120" s="117"/>
      <c r="D120" s="18"/>
      <c r="E120" s="124" t="s">
        <v>247</v>
      </c>
      <c r="F120" s="125"/>
      <c r="G120" s="75"/>
      <c r="H120" s="193"/>
      <c r="I120" s="115"/>
      <c r="J120" s="90" t="s">
        <v>162</v>
      </c>
      <c r="K120" s="85" t="s">
        <v>182</v>
      </c>
      <c r="L120" s="86" t="s">
        <v>140</v>
      </c>
    </row>
    <row r="121" spans="1:15" ht="39.75" customHeight="1">
      <c r="A121" s="105"/>
      <c r="B121" s="120"/>
      <c r="C121" s="117"/>
      <c r="D121" s="16"/>
      <c r="E121" s="24" t="s">
        <v>71</v>
      </c>
      <c r="F121" s="47" t="s">
        <v>10</v>
      </c>
      <c r="G121" s="56"/>
      <c r="H121" s="144" t="s">
        <v>72</v>
      </c>
      <c r="I121" s="113" t="s">
        <v>73</v>
      </c>
      <c r="J121" s="90" t="s">
        <v>163</v>
      </c>
      <c r="K121" s="85" t="s">
        <v>182</v>
      </c>
      <c r="L121" s="86" t="s">
        <v>140</v>
      </c>
    </row>
    <row r="122" spans="1:15" ht="66" customHeight="1">
      <c r="A122" s="105"/>
      <c r="B122" s="120"/>
      <c r="C122" s="117"/>
      <c r="D122" s="15"/>
      <c r="E122" s="125" t="s">
        <v>81</v>
      </c>
      <c r="F122" s="152"/>
      <c r="G122" s="56"/>
      <c r="H122" s="144"/>
      <c r="I122" s="113"/>
      <c r="J122" s="90" t="s">
        <v>163</v>
      </c>
      <c r="K122" s="85" t="s">
        <v>182</v>
      </c>
      <c r="L122" s="86" t="s">
        <v>140</v>
      </c>
    </row>
    <row r="123" spans="1:15" ht="39.75" customHeight="1">
      <c r="A123" s="105"/>
      <c r="B123" s="120"/>
      <c r="C123" s="117"/>
      <c r="D123" s="16"/>
      <c r="E123" s="67" t="str">
        <f>HYPERLINK(G123, "奨学金育英事業補助金")</f>
        <v>奨学金育英事業補助金</v>
      </c>
      <c r="F123" s="52" t="s">
        <v>10</v>
      </c>
      <c r="G123" s="63" t="str">
        <f>HYPERLINK("#", "https://www.city.ise.mie.jp/kyouiku/youchien_gakkou/syugakuenjo/1001847.html")</f>
        <v>https://www.city.ise.mie.jp/kyouiku/youchien_gakkou/syugakuenjo/1001847.html</v>
      </c>
      <c r="H123" s="144" t="s">
        <v>74</v>
      </c>
      <c r="I123" s="113" t="s">
        <v>75</v>
      </c>
      <c r="J123" s="90" t="s">
        <v>164</v>
      </c>
      <c r="K123" s="85" t="s">
        <v>182</v>
      </c>
      <c r="L123" s="86" t="s">
        <v>140</v>
      </c>
    </row>
    <row r="124" spans="1:15" ht="102.75" customHeight="1">
      <c r="A124" s="105"/>
      <c r="B124" s="120"/>
      <c r="C124" s="117"/>
      <c r="D124" s="18"/>
      <c r="E124" s="124" t="s">
        <v>248</v>
      </c>
      <c r="F124" s="125"/>
      <c r="G124" s="75"/>
      <c r="H124" s="145"/>
      <c r="I124" s="115"/>
      <c r="J124" s="90" t="s">
        <v>164</v>
      </c>
      <c r="K124" s="85" t="s">
        <v>182</v>
      </c>
      <c r="L124" s="86" t="s">
        <v>140</v>
      </c>
    </row>
    <row r="125" spans="1:15" ht="39.75" customHeight="1">
      <c r="A125" s="105"/>
      <c r="B125" s="120"/>
      <c r="C125" s="117"/>
      <c r="D125" s="16"/>
      <c r="E125" s="67" t="str">
        <f>HYPERLINK(G125, "英語検定チャレンジ補助金")</f>
        <v>英語検定チャレンジ補助金</v>
      </c>
      <c r="F125" s="52" t="s">
        <v>10</v>
      </c>
      <c r="G125" s="56" t="str">
        <f>HYPERLINK("#", "https://www.city.ise.mie.jp/kyouiku/houshin_keikaku/torikumi/english/1001839.html")</f>
        <v>https://www.city.ise.mie.jp/kyouiku/houshin_keikaku/torikumi/english/1001839.html</v>
      </c>
      <c r="H125" s="145"/>
      <c r="I125" s="113" t="s">
        <v>76</v>
      </c>
      <c r="J125" s="90" t="s">
        <v>164</v>
      </c>
      <c r="K125" s="85" t="s">
        <v>182</v>
      </c>
      <c r="L125" s="86" t="s">
        <v>140</v>
      </c>
    </row>
    <row r="126" spans="1:15" ht="66" customHeight="1" thickBot="1">
      <c r="A126" s="106"/>
      <c r="B126" s="121"/>
      <c r="C126" s="156"/>
      <c r="D126" s="18"/>
      <c r="E126" s="124" t="s">
        <v>249</v>
      </c>
      <c r="F126" s="125"/>
      <c r="G126" s="56"/>
      <c r="H126" s="145"/>
      <c r="I126" s="114"/>
      <c r="J126" s="90" t="s">
        <v>164</v>
      </c>
      <c r="K126" s="85" t="s">
        <v>182</v>
      </c>
      <c r="L126" s="86" t="s">
        <v>140</v>
      </c>
    </row>
    <row r="127" spans="1:15" s="10" customFormat="1" ht="39.75" customHeight="1">
      <c r="A127" s="155">
        <v>4</v>
      </c>
      <c r="B127" s="176" t="s">
        <v>29</v>
      </c>
      <c r="C127" s="177"/>
      <c r="D127" s="68"/>
      <c r="E127" s="69" t="str">
        <f>HYPERLINK(G127, "自家消費型太陽光発電設備等設置費補助金")</f>
        <v>自家消費型太陽光発電設備等設置費補助金</v>
      </c>
      <c r="F127" s="71" t="s">
        <v>77</v>
      </c>
      <c r="G127" s="72" t="s">
        <v>143</v>
      </c>
      <c r="H127" s="146" t="s">
        <v>17</v>
      </c>
      <c r="I127" s="148" t="s">
        <v>144</v>
      </c>
      <c r="J127" s="90" t="s">
        <v>153</v>
      </c>
      <c r="K127" s="85" t="s">
        <v>183</v>
      </c>
      <c r="L127" s="86"/>
      <c r="M127" s="92"/>
      <c r="O127"/>
    </row>
    <row r="128" spans="1:15" s="10" customFormat="1" ht="75.75" customHeight="1">
      <c r="A128" s="105"/>
      <c r="B128" s="178"/>
      <c r="C128" s="179"/>
      <c r="D128" s="15"/>
      <c r="E128" s="124" t="s">
        <v>250</v>
      </c>
      <c r="F128" s="125"/>
      <c r="G128" s="54"/>
      <c r="H128" s="145"/>
      <c r="I128" s="114"/>
      <c r="J128" s="90" t="s">
        <v>153</v>
      </c>
      <c r="K128" s="85" t="s">
        <v>183</v>
      </c>
      <c r="L128" s="86"/>
      <c r="M128" s="92"/>
      <c r="O128"/>
    </row>
    <row r="129" spans="1:15" s="10" customFormat="1" ht="39.75" customHeight="1">
      <c r="A129" s="105"/>
      <c r="B129" s="178"/>
      <c r="C129" s="179"/>
      <c r="D129" s="16"/>
      <c r="E129" s="67" t="str">
        <f>HYPERLINK(G129, "事業所脱炭素化支援補助金")</f>
        <v>事業所脱炭素化支援補助金</v>
      </c>
      <c r="F129" s="39" t="s">
        <v>10</v>
      </c>
      <c r="G129" s="60" t="s">
        <v>145</v>
      </c>
      <c r="H129" s="145"/>
      <c r="I129" s="114"/>
      <c r="J129" s="90" t="s">
        <v>153</v>
      </c>
      <c r="K129" s="85" t="s">
        <v>183</v>
      </c>
      <c r="L129" s="86"/>
      <c r="M129" s="92"/>
      <c r="O129"/>
    </row>
    <row r="130" spans="1:15" s="10" customFormat="1" ht="75.75" customHeight="1">
      <c r="A130" s="105"/>
      <c r="B130" s="178"/>
      <c r="C130" s="179"/>
      <c r="D130" s="15"/>
      <c r="E130" s="124" t="s">
        <v>251</v>
      </c>
      <c r="F130" s="125"/>
      <c r="G130" s="61"/>
      <c r="H130" s="145"/>
      <c r="I130" s="115"/>
      <c r="J130" s="90" t="s">
        <v>153</v>
      </c>
      <c r="K130" s="85" t="s">
        <v>183</v>
      </c>
      <c r="L130" s="86"/>
      <c r="M130" s="92"/>
      <c r="O130"/>
    </row>
    <row r="131" spans="1:15" s="10" customFormat="1" ht="39.75" customHeight="1">
      <c r="A131" s="105"/>
      <c r="B131" s="178"/>
      <c r="C131" s="179"/>
      <c r="D131" s="28"/>
      <c r="E131" s="67" t="str">
        <f>HYPERLINK(G131, "合併処理浄化槽設置整備事業補助金")</f>
        <v>合併処理浄化槽設置整備事業補助金</v>
      </c>
      <c r="F131" s="70" t="s">
        <v>10</v>
      </c>
      <c r="G131" s="55" t="str">
        <f>HYPERLINK("#", "https://www.city.ise.mie.jp/kurashi/kankyo/haisui/1001273.html")</f>
        <v>https://www.city.ise.mie.jp/kurashi/kankyo/haisui/1001273.html</v>
      </c>
      <c r="H131" s="145"/>
      <c r="I131" s="113" t="s">
        <v>30</v>
      </c>
      <c r="J131" s="90" t="s">
        <v>153</v>
      </c>
      <c r="K131" s="85" t="s">
        <v>183</v>
      </c>
      <c r="L131" s="86"/>
      <c r="M131" s="92"/>
      <c r="O131"/>
    </row>
    <row r="132" spans="1:15" s="10" customFormat="1" ht="75.75" customHeight="1">
      <c r="A132" s="105"/>
      <c r="B132" s="178"/>
      <c r="C132" s="179"/>
      <c r="D132" s="15"/>
      <c r="E132" s="124" t="s">
        <v>252</v>
      </c>
      <c r="F132" s="125"/>
      <c r="G132" s="54"/>
      <c r="H132" s="145"/>
      <c r="I132" s="114"/>
      <c r="J132" s="90" t="s">
        <v>153</v>
      </c>
      <c r="K132" s="85" t="s">
        <v>183</v>
      </c>
      <c r="L132" s="86"/>
      <c r="M132" s="92"/>
      <c r="O132"/>
    </row>
    <row r="133" spans="1:15" s="10" customFormat="1" ht="39.75" customHeight="1">
      <c r="A133" s="105"/>
      <c r="B133" s="178"/>
      <c r="C133" s="179"/>
      <c r="D133" s="16"/>
      <c r="E133" s="67" t="str">
        <f>HYPERLINK(G133, "犬及び猫の不妊手術費等助成金")</f>
        <v>犬及び猫の不妊手術費等助成金</v>
      </c>
      <c r="F133" s="39" t="s">
        <v>10</v>
      </c>
      <c r="G133" s="60" t="str">
        <f>HYPERLINK("#", "https://www.city.ise.mie.jp/kurashi/pet/1001256.html")</f>
        <v>https://www.city.ise.mie.jp/kurashi/pet/1001256.html</v>
      </c>
      <c r="H133" s="145"/>
      <c r="I133" s="114"/>
      <c r="J133" s="90" t="s">
        <v>153</v>
      </c>
      <c r="K133" s="85" t="s">
        <v>183</v>
      </c>
      <c r="L133" s="86"/>
      <c r="M133" s="92"/>
      <c r="O133"/>
    </row>
    <row r="134" spans="1:15" s="10" customFormat="1" ht="75.75" customHeight="1">
      <c r="A134" s="105"/>
      <c r="B134" s="178"/>
      <c r="C134" s="179"/>
      <c r="D134" s="15"/>
      <c r="E134" s="124" t="s">
        <v>253</v>
      </c>
      <c r="F134" s="125"/>
      <c r="G134" s="54"/>
      <c r="H134" s="145"/>
      <c r="I134" s="114"/>
      <c r="J134" s="90" t="s">
        <v>153</v>
      </c>
      <c r="K134" s="85" t="s">
        <v>183</v>
      </c>
      <c r="L134" s="86"/>
      <c r="M134" s="92"/>
      <c r="O134"/>
    </row>
    <row r="135" spans="1:15" s="10" customFormat="1" ht="39" customHeight="1">
      <c r="A135" s="105"/>
      <c r="B135" s="178"/>
      <c r="C135" s="179"/>
      <c r="D135" s="12"/>
      <c r="E135" s="13" t="s">
        <v>31</v>
      </c>
      <c r="F135" s="39" t="s">
        <v>10</v>
      </c>
      <c r="G135" s="60"/>
      <c r="H135" s="145"/>
      <c r="I135" s="114"/>
      <c r="J135" s="90" t="s">
        <v>153</v>
      </c>
      <c r="K135" s="85" t="s">
        <v>183</v>
      </c>
      <c r="L135" s="86"/>
      <c r="M135" s="92"/>
      <c r="O135"/>
    </row>
    <row r="136" spans="1:15" s="10" customFormat="1" ht="75.75" customHeight="1">
      <c r="A136" s="105"/>
      <c r="B136" s="178"/>
      <c r="C136" s="179"/>
      <c r="D136" s="14"/>
      <c r="E136" s="124" t="str">
        <f>E18</f>
        <v>　自治会等の墓地管理者が管理している共同墓地の環境改善を図るため、墓地内の水汲み場、通路等の整備に対し費用の一部を補助します。</v>
      </c>
      <c r="F136" s="125"/>
      <c r="G136" s="54"/>
      <c r="H136" s="147"/>
      <c r="I136" s="115"/>
      <c r="J136" s="90" t="s">
        <v>153</v>
      </c>
      <c r="K136" s="85" t="s">
        <v>183</v>
      </c>
      <c r="L136" s="86"/>
      <c r="M136" s="92"/>
      <c r="O136" s="11"/>
    </row>
    <row r="137" spans="1:15" ht="39.75" customHeight="1">
      <c r="A137" s="105"/>
      <c r="B137" s="178"/>
      <c r="C137" s="179"/>
      <c r="D137" s="16"/>
      <c r="E137" s="67" t="str">
        <f>HYPERLINK(G137, "水洗便所等改造資金助成金")</f>
        <v>水洗便所等改造資金助成金</v>
      </c>
      <c r="F137" s="45" t="s">
        <v>10</v>
      </c>
      <c r="G137" s="60" t="str">
        <f>HYPERLINK("#", "https://www.city.ise.mie.jp/jougesuidou/info/hojo/1003282.html")</f>
        <v>https://www.city.ise.mie.jp/jougesuidou/info/hojo/1003282.html</v>
      </c>
      <c r="H137" s="126" t="s">
        <v>32</v>
      </c>
      <c r="I137" s="113" t="s">
        <v>118</v>
      </c>
      <c r="J137" s="90" t="s">
        <v>165</v>
      </c>
      <c r="K137" s="85" t="s">
        <v>183</v>
      </c>
      <c r="L137" s="86"/>
      <c r="N137" s="10"/>
    </row>
    <row r="138" spans="1:15" ht="105" customHeight="1">
      <c r="A138" s="105"/>
      <c r="B138" s="178"/>
      <c r="C138" s="179"/>
      <c r="D138" s="15"/>
      <c r="E138" s="153" t="s">
        <v>84</v>
      </c>
      <c r="F138" s="154"/>
      <c r="G138" s="61"/>
      <c r="H138" s="127"/>
      <c r="I138" s="114"/>
      <c r="J138" s="90" t="s">
        <v>165</v>
      </c>
      <c r="K138" s="85" t="s">
        <v>183</v>
      </c>
      <c r="L138" s="86"/>
      <c r="N138" s="10"/>
    </row>
    <row r="139" spans="1:15" ht="39.75" customHeight="1">
      <c r="A139" s="105"/>
      <c r="B139" s="178"/>
      <c r="C139" s="179"/>
      <c r="D139" s="16"/>
      <c r="E139" s="67" t="str">
        <f>HYPERLINK(G139, "水洗便所等改造資金融資あっせん利子補給金")</f>
        <v>水洗便所等改造資金融資あっせん利子補給金</v>
      </c>
      <c r="F139" s="45" t="s">
        <v>10</v>
      </c>
      <c r="G139" s="60" t="str">
        <f>HYPERLINK("#", "https://www.city.ise.mie.jp/jougesuidou/info/hojo/1003282.html")</f>
        <v>https://www.city.ise.mie.jp/jougesuidou/info/hojo/1003282.html</v>
      </c>
      <c r="H139" s="127"/>
      <c r="I139" s="114"/>
      <c r="J139" s="90" t="s">
        <v>165</v>
      </c>
      <c r="K139" s="85" t="s">
        <v>183</v>
      </c>
      <c r="L139" s="86"/>
      <c r="N139" s="10"/>
    </row>
    <row r="140" spans="1:15" ht="103.5" customHeight="1">
      <c r="A140" s="105"/>
      <c r="B140" s="178"/>
      <c r="C140" s="179"/>
      <c r="D140" s="15"/>
      <c r="E140" s="153" t="s">
        <v>83</v>
      </c>
      <c r="F140" s="154"/>
      <c r="G140" s="61"/>
      <c r="H140" s="127"/>
      <c r="I140" s="114"/>
      <c r="J140" s="90" t="s">
        <v>165</v>
      </c>
      <c r="K140" s="85" t="s">
        <v>183</v>
      </c>
      <c r="L140" s="86"/>
      <c r="N140" s="10"/>
    </row>
    <row r="141" spans="1:15" ht="39.75" customHeight="1">
      <c r="A141" s="105"/>
      <c r="B141" s="178"/>
      <c r="C141" s="179"/>
      <c r="D141" s="16"/>
      <c r="E141" s="67" t="str">
        <f>HYPERLINK(G141, "浄化槽雨水貯留施設転用工事費補助金")</f>
        <v>浄化槽雨水貯留施設転用工事費補助金</v>
      </c>
      <c r="F141" s="45" t="s">
        <v>10</v>
      </c>
      <c r="G141" s="60" t="str">
        <f>HYPERLINK("#", "https://www.city.ise.mie.jp/jougesuidou/info/hojo/1003271.html")</f>
        <v>https://www.city.ise.mie.jp/jougesuidou/info/hojo/1003271.html</v>
      </c>
      <c r="H141" s="127"/>
      <c r="I141" s="114"/>
      <c r="J141" s="90" t="s">
        <v>165</v>
      </c>
      <c r="K141" s="85" t="s">
        <v>183</v>
      </c>
      <c r="L141" s="86"/>
      <c r="N141" s="10"/>
    </row>
    <row r="142" spans="1:15" ht="103.5" customHeight="1">
      <c r="A142" s="105"/>
      <c r="B142" s="178"/>
      <c r="C142" s="179"/>
      <c r="D142" s="15"/>
      <c r="E142" s="153" t="s">
        <v>82</v>
      </c>
      <c r="F142" s="154"/>
      <c r="G142" s="61"/>
      <c r="H142" s="128"/>
      <c r="I142" s="115"/>
      <c r="J142" s="90" t="s">
        <v>165</v>
      </c>
      <c r="K142" s="85" t="s">
        <v>183</v>
      </c>
      <c r="L142" s="86"/>
      <c r="N142" s="10"/>
    </row>
    <row r="143" spans="1:15" ht="39" customHeight="1">
      <c r="A143" s="105"/>
      <c r="B143" s="178"/>
      <c r="C143" s="179"/>
      <c r="D143" s="12"/>
      <c r="E143" s="67" t="str">
        <f>HYPERLINK(G143, "【再掲】廃棄物集積所設置補助金")</f>
        <v>【再掲】廃棄物集積所設置補助金</v>
      </c>
      <c r="F143" s="39" t="s">
        <v>10</v>
      </c>
      <c r="G143" s="60" t="str">
        <f>HYPERLINK("#", "https://www.city.ise.mie.jp/kurashi/gomi/hojo/1001464.html")</f>
        <v>https://www.city.ise.mie.jp/kurashi/gomi/hojo/1001464.html</v>
      </c>
      <c r="H143" s="144" t="s">
        <v>19</v>
      </c>
      <c r="I143" s="113" t="s">
        <v>119</v>
      </c>
      <c r="J143" s="90" t="s">
        <v>154</v>
      </c>
      <c r="K143" s="85" t="s">
        <v>183</v>
      </c>
      <c r="L143" s="86"/>
      <c r="N143" s="10"/>
    </row>
    <row r="144" spans="1:15" ht="76.5" customHeight="1">
      <c r="A144" s="105"/>
      <c r="B144" s="178"/>
      <c r="C144" s="179"/>
      <c r="D144" s="15"/>
      <c r="E144" s="124" t="str">
        <f>E20</f>
        <v>　ごみ集積所設備を設置、修繕する自治会等に対し、世帯数に応じて定められた補助金限度額内で本体工事費及び環境整備費、修繕費を交付します。</v>
      </c>
      <c r="F144" s="125"/>
      <c r="G144" s="61"/>
      <c r="H144" s="145"/>
      <c r="I144" s="114"/>
      <c r="J144" s="90" t="s">
        <v>154</v>
      </c>
      <c r="K144" s="85" t="s">
        <v>183</v>
      </c>
      <c r="L144" s="86"/>
      <c r="N144" s="10"/>
    </row>
    <row r="145" spans="1:14" ht="39.75" customHeight="1">
      <c r="A145" s="105"/>
      <c r="B145" s="178"/>
      <c r="C145" s="179"/>
      <c r="D145" s="16"/>
      <c r="E145" s="67" t="str">
        <f>HYPERLINK(G145, "生ごみ処理機等購入費補助金")</f>
        <v>生ごみ処理機等購入費補助金</v>
      </c>
      <c r="F145" s="45" t="s">
        <v>10</v>
      </c>
      <c r="G145" s="60" t="str">
        <f>HYPERLINK("#", "https://www.city.ise.mie.jp/kurashi/gomi/hojo/1011706.html")</f>
        <v>https://www.city.ise.mie.jp/kurashi/gomi/hojo/1011706.html</v>
      </c>
      <c r="H145" s="145"/>
      <c r="I145" s="114"/>
      <c r="J145" s="90" t="s">
        <v>154</v>
      </c>
      <c r="K145" s="85" t="s">
        <v>183</v>
      </c>
      <c r="L145" s="86"/>
      <c r="N145" s="10"/>
    </row>
    <row r="146" spans="1:14" ht="110.25" customHeight="1" thickBot="1">
      <c r="A146" s="106"/>
      <c r="B146" s="180"/>
      <c r="C146" s="181"/>
      <c r="D146" s="26"/>
      <c r="E146" s="184" t="s">
        <v>254</v>
      </c>
      <c r="F146" s="166"/>
      <c r="G146" s="73"/>
      <c r="H146" s="173"/>
      <c r="I146" s="157"/>
      <c r="J146" s="90" t="s">
        <v>154</v>
      </c>
      <c r="K146" s="85" t="s">
        <v>183</v>
      </c>
      <c r="L146" s="86"/>
      <c r="N146" s="10"/>
    </row>
    <row r="147" spans="1:14" ht="39.75" customHeight="1">
      <c r="A147" s="155">
        <v>5</v>
      </c>
      <c r="B147" s="163" t="s">
        <v>33</v>
      </c>
      <c r="C147" s="197" t="s">
        <v>123</v>
      </c>
      <c r="D147" s="28"/>
      <c r="E147" s="66" t="str">
        <f>HYPERLINK(G147, "中小企業退職金共済制度奨励補助金")</f>
        <v>中小企業退職金共済制度奨励補助金</v>
      </c>
      <c r="F147" s="43" t="s">
        <v>10</v>
      </c>
      <c r="G147" s="55" t="str">
        <f>HYPERLINK("#", "https://www.city.ise.mie.jp/sangyo/koyou/1003032.html")</f>
        <v>https://www.city.ise.mie.jp/sangyo/koyou/1003032.html</v>
      </c>
      <c r="H147" s="146" t="s">
        <v>94</v>
      </c>
      <c r="I147" s="148" t="s">
        <v>124</v>
      </c>
      <c r="J147" s="90" t="s">
        <v>94</v>
      </c>
      <c r="K147" s="85" t="s">
        <v>184</v>
      </c>
      <c r="L147" s="86" t="s">
        <v>185</v>
      </c>
      <c r="N147" s="10"/>
    </row>
    <row r="148" spans="1:14" ht="66" customHeight="1">
      <c r="A148" s="105"/>
      <c r="B148" s="138"/>
      <c r="C148" s="108"/>
      <c r="D148" s="15"/>
      <c r="E148" s="124" t="s">
        <v>255</v>
      </c>
      <c r="F148" s="125"/>
      <c r="G148" s="54"/>
      <c r="H148" s="145"/>
      <c r="I148" s="114"/>
      <c r="J148" s="90" t="s">
        <v>94</v>
      </c>
      <c r="K148" s="85" t="s">
        <v>184</v>
      </c>
      <c r="L148" s="86" t="s">
        <v>185</v>
      </c>
      <c r="N148" s="10"/>
    </row>
    <row r="149" spans="1:14" ht="39.75" customHeight="1">
      <c r="A149" s="105"/>
      <c r="B149" s="138"/>
      <c r="C149" s="108"/>
      <c r="D149" s="16"/>
      <c r="E149" s="95" t="str">
        <f>HYPERLINK("G149", "企業等奨学金返還支援補助金")</f>
        <v>企業等奨学金返還支援補助金</v>
      </c>
      <c r="F149" s="43" t="s">
        <v>10</v>
      </c>
      <c r="G149" s="55" t="s">
        <v>215</v>
      </c>
      <c r="H149" s="145"/>
      <c r="I149" s="114"/>
      <c r="J149" s="90" t="s">
        <v>94</v>
      </c>
      <c r="K149" s="85" t="s">
        <v>184</v>
      </c>
      <c r="L149" s="86" t="s">
        <v>185</v>
      </c>
      <c r="N149" s="10"/>
    </row>
    <row r="150" spans="1:14" ht="66" customHeight="1">
      <c r="A150" s="105"/>
      <c r="B150" s="138"/>
      <c r="C150" s="108"/>
      <c r="D150" s="15"/>
      <c r="E150" s="124" t="s">
        <v>256</v>
      </c>
      <c r="F150" s="125"/>
      <c r="G150" s="54"/>
      <c r="H150" s="145"/>
      <c r="I150" s="114"/>
      <c r="J150" s="90" t="s">
        <v>94</v>
      </c>
      <c r="K150" s="85" t="s">
        <v>184</v>
      </c>
      <c r="L150" s="86" t="s">
        <v>185</v>
      </c>
      <c r="N150" s="10"/>
    </row>
    <row r="151" spans="1:14" ht="39.75" customHeight="1">
      <c r="A151" s="105"/>
      <c r="B151" s="138"/>
      <c r="C151" s="108"/>
      <c r="D151" s="16"/>
      <c r="E151" s="102" t="s">
        <v>304</v>
      </c>
      <c r="F151" s="43" t="s">
        <v>10</v>
      </c>
      <c r="G151" s="55"/>
      <c r="H151" s="145"/>
      <c r="I151" s="114"/>
      <c r="J151" s="90" t="s">
        <v>94</v>
      </c>
      <c r="K151" s="85" t="s">
        <v>184</v>
      </c>
      <c r="L151" s="86" t="s">
        <v>185</v>
      </c>
      <c r="N151" s="10"/>
    </row>
    <row r="152" spans="1:14" ht="66" customHeight="1">
      <c r="A152" s="105"/>
      <c r="B152" s="138"/>
      <c r="C152" s="108"/>
      <c r="D152" s="15"/>
      <c r="E152" s="124" t="s">
        <v>257</v>
      </c>
      <c r="F152" s="125"/>
      <c r="G152" s="54"/>
      <c r="H152" s="145"/>
      <c r="I152" s="114"/>
      <c r="J152" s="90" t="s">
        <v>94</v>
      </c>
      <c r="K152" s="85" t="s">
        <v>184</v>
      </c>
      <c r="L152" s="86" t="s">
        <v>185</v>
      </c>
      <c r="N152" s="10"/>
    </row>
    <row r="153" spans="1:14" ht="39.75" customHeight="1">
      <c r="A153" s="105"/>
      <c r="B153" s="138"/>
      <c r="C153" s="108"/>
      <c r="D153" s="18"/>
      <c r="E153" s="66" t="str">
        <f>HYPERLINK(G153, "ＩＴパスポート取得支援補助金")</f>
        <v>ＩＴパスポート取得支援補助金</v>
      </c>
      <c r="F153" s="42" t="s">
        <v>10</v>
      </c>
      <c r="G153" s="88" t="str">
        <f>HYPERLINK("#", "https://www.city.ise.mie.jp/sangyo/koyou/roudou/1003023.html")</f>
        <v>https://www.city.ise.mie.jp/sangyo/koyou/roudou/1003023.html</v>
      </c>
      <c r="H153" s="145"/>
      <c r="I153" s="114"/>
      <c r="J153" s="90" t="s">
        <v>94</v>
      </c>
      <c r="K153" s="85" t="s">
        <v>184</v>
      </c>
      <c r="L153" s="86" t="s">
        <v>185</v>
      </c>
      <c r="N153" s="10"/>
    </row>
    <row r="154" spans="1:14" ht="65.25" customHeight="1">
      <c r="A154" s="105"/>
      <c r="B154" s="138"/>
      <c r="C154" s="108"/>
      <c r="D154" s="21"/>
      <c r="E154" s="124" t="s">
        <v>99</v>
      </c>
      <c r="F154" s="125"/>
      <c r="G154" s="61"/>
      <c r="H154" s="147"/>
      <c r="I154" s="115"/>
      <c r="J154" s="90" t="s">
        <v>94</v>
      </c>
      <c r="K154" s="85" t="s">
        <v>184</v>
      </c>
      <c r="L154" s="86" t="s">
        <v>185</v>
      </c>
      <c r="N154" s="10"/>
    </row>
    <row r="155" spans="1:14" ht="39.75" customHeight="1">
      <c r="A155" s="105"/>
      <c r="B155" s="138"/>
      <c r="C155" s="108"/>
      <c r="D155" s="16"/>
      <c r="E155" s="66" t="str">
        <f>HYPERLINK(G155, "【再掲】自立支援教育訓練給付金事業補助金")</f>
        <v>【再掲】自立支援教育訓練給付金事業補助金</v>
      </c>
      <c r="F155" s="43" t="s">
        <v>10</v>
      </c>
      <c r="G155" s="55" t="str">
        <f>HYPERLINK("#", "https://www.city.ise.mie.jp/kosodate/gyosei/hitorioya/1002280.html")</f>
        <v>https://www.city.ise.mie.jp/kosodate/gyosei/hitorioya/1002280.html</v>
      </c>
      <c r="H155" s="144" t="s">
        <v>49</v>
      </c>
      <c r="I155" s="113" t="s">
        <v>125</v>
      </c>
      <c r="J155" s="90" t="s">
        <v>162</v>
      </c>
      <c r="K155" s="85" t="s">
        <v>184</v>
      </c>
      <c r="L155" s="86" t="s">
        <v>185</v>
      </c>
      <c r="N155" s="10"/>
    </row>
    <row r="156" spans="1:14" ht="51.75" customHeight="1">
      <c r="A156" s="105"/>
      <c r="B156" s="138"/>
      <c r="C156" s="108"/>
      <c r="D156" s="15"/>
      <c r="E156" s="124" t="str">
        <f>E110</f>
        <v>　ひとり親家庭の親の就労に必要な資格取得のための受講料の一部を補助します。</v>
      </c>
      <c r="F156" s="125"/>
      <c r="G156" s="61"/>
      <c r="H156" s="145"/>
      <c r="I156" s="114"/>
      <c r="J156" s="90" t="s">
        <v>162</v>
      </c>
      <c r="K156" s="85" t="s">
        <v>184</v>
      </c>
      <c r="L156" s="86" t="s">
        <v>185</v>
      </c>
      <c r="N156" s="10"/>
    </row>
    <row r="157" spans="1:14" ht="39.75" customHeight="1">
      <c r="A157" s="105"/>
      <c r="B157" s="138"/>
      <c r="C157" s="108"/>
      <c r="D157" s="16"/>
      <c r="E157" s="66" t="str">
        <f>HYPERLINK(G157, "【再掲】高等職業訓練促進給付金等事業補助金")</f>
        <v>【再掲】高等職業訓練促進給付金等事業補助金</v>
      </c>
      <c r="F157" s="43" t="s">
        <v>10</v>
      </c>
      <c r="G157" s="55" t="str">
        <f>HYPERLINK("#", "https://www.city.ise.mie.jp/kosodate/gyosei/hitorioya/1002277.html")</f>
        <v>https://www.city.ise.mie.jp/kosodate/gyosei/hitorioya/1002277.html</v>
      </c>
      <c r="H157" s="145"/>
      <c r="I157" s="114"/>
      <c r="J157" s="90" t="s">
        <v>162</v>
      </c>
      <c r="K157" s="85" t="s">
        <v>184</v>
      </c>
      <c r="L157" s="86" t="s">
        <v>185</v>
      </c>
      <c r="N157" s="10"/>
    </row>
    <row r="158" spans="1:14" ht="66" customHeight="1">
      <c r="A158" s="105"/>
      <c r="B158" s="138"/>
      <c r="C158" s="109"/>
      <c r="D158" s="15"/>
      <c r="E158" s="124" t="str">
        <f>E112</f>
        <v>　専門的な資格取得を目指すひとり親家庭の親に対し、受講期間中の生活の負担軽減を図るため、給付金を支給します。</v>
      </c>
      <c r="F158" s="125"/>
      <c r="G158" s="61"/>
      <c r="H158" s="147"/>
      <c r="I158" s="115"/>
      <c r="J158" s="90" t="s">
        <v>162</v>
      </c>
      <c r="K158" s="85" t="s">
        <v>184</v>
      </c>
      <c r="L158" s="86" t="s">
        <v>185</v>
      </c>
      <c r="N158" s="10"/>
    </row>
    <row r="159" spans="1:14" ht="39.75" customHeight="1">
      <c r="A159" s="105">
        <v>5</v>
      </c>
      <c r="B159" s="138" t="s">
        <v>33</v>
      </c>
      <c r="C159" s="160" t="s">
        <v>38</v>
      </c>
      <c r="D159" s="16"/>
      <c r="E159" s="67" t="str">
        <f>HYPERLINK(G159, "競争力強化チャレンジ応援事業補助金")</f>
        <v>競争力強化チャレンジ応援事業補助金</v>
      </c>
      <c r="F159" s="43" t="s">
        <v>10</v>
      </c>
      <c r="G159" s="55" t="s">
        <v>206</v>
      </c>
      <c r="H159" s="129" t="s">
        <v>95</v>
      </c>
      <c r="I159" s="167" t="s">
        <v>96</v>
      </c>
      <c r="J159" s="90" t="s">
        <v>166</v>
      </c>
      <c r="K159" s="85" t="s">
        <v>184</v>
      </c>
      <c r="L159" s="86" t="s">
        <v>186</v>
      </c>
      <c r="N159" s="10"/>
    </row>
    <row r="160" spans="1:14" ht="78.75" customHeight="1">
      <c r="A160" s="105"/>
      <c r="B160" s="138"/>
      <c r="C160" s="161"/>
      <c r="D160" s="15"/>
      <c r="E160" s="124" t="s">
        <v>258</v>
      </c>
      <c r="F160" s="125"/>
      <c r="G160" s="54"/>
      <c r="H160" s="130"/>
      <c r="I160" s="168"/>
      <c r="J160" s="90" t="s">
        <v>166</v>
      </c>
      <c r="K160" s="85" t="s">
        <v>184</v>
      </c>
      <c r="L160" s="86" t="s">
        <v>186</v>
      </c>
      <c r="N160" s="10"/>
    </row>
    <row r="161" spans="1:14" ht="39.75" customHeight="1">
      <c r="A161" s="105"/>
      <c r="B161" s="138"/>
      <c r="C161" s="161"/>
      <c r="D161" s="16"/>
      <c r="E161" s="33" t="s">
        <v>39</v>
      </c>
      <c r="F161" s="43" t="s">
        <v>10</v>
      </c>
      <c r="G161" s="60"/>
      <c r="H161" s="130"/>
      <c r="I161" s="168"/>
      <c r="J161" s="90" t="s">
        <v>166</v>
      </c>
      <c r="K161" s="85" t="s">
        <v>184</v>
      </c>
      <c r="L161" s="86" t="s">
        <v>186</v>
      </c>
      <c r="N161" s="10"/>
    </row>
    <row r="162" spans="1:14" ht="76.5" customHeight="1">
      <c r="A162" s="105"/>
      <c r="B162" s="138"/>
      <c r="C162" s="161"/>
      <c r="D162" s="15"/>
      <c r="E162" s="124" t="s">
        <v>259</v>
      </c>
      <c r="F162" s="125"/>
      <c r="G162" s="61"/>
      <c r="H162" s="130"/>
      <c r="I162" s="168"/>
      <c r="J162" s="90" t="s">
        <v>166</v>
      </c>
      <c r="K162" s="85" t="s">
        <v>184</v>
      </c>
      <c r="L162" s="86" t="s">
        <v>186</v>
      </c>
      <c r="N162" s="10"/>
    </row>
    <row r="163" spans="1:14" ht="39.75" customHeight="1">
      <c r="A163" s="105"/>
      <c r="B163" s="138"/>
      <c r="C163" s="161"/>
      <c r="D163" s="16"/>
      <c r="E163" s="33" t="s">
        <v>198</v>
      </c>
      <c r="F163" s="43" t="s">
        <v>10</v>
      </c>
      <c r="G163" s="55"/>
      <c r="H163" s="130"/>
      <c r="I163" s="168"/>
      <c r="J163" s="90" t="s">
        <v>166</v>
      </c>
      <c r="K163" s="85" t="s">
        <v>184</v>
      </c>
      <c r="L163" s="86" t="s">
        <v>186</v>
      </c>
      <c r="N163" s="10"/>
    </row>
    <row r="164" spans="1:14" ht="76.5" customHeight="1">
      <c r="A164" s="105"/>
      <c r="B164" s="138"/>
      <c r="C164" s="161"/>
      <c r="D164" s="15"/>
      <c r="E164" s="124" t="s">
        <v>260</v>
      </c>
      <c r="F164" s="125"/>
      <c r="G164" s="54"/>
      <c r="H164" s="130"/>
      <c r="I164" s="168"/>
      <c r="J164" s="90" t="s">
        <v>166</v>
      </c>
      <c r="K164" s="85" t="s">
        <v>184</v>
      </c>
      <c r="L164" s="86" t="s">
        <v>186</v>
      </c>
      <c r="N164" s="10"/>
    </row>
    <row r="165" spans="1:14" ht="39.75" customHeight="1">
      <c r="A165" s="105"/>
      <c r="B165" s="138"/>
      <c r="C165" s="161"/>
      <c r="D165" s="16"/>
      <c r="E165" s="67" t="str">
        <f>HYPERLINK(G165, "経営開始資金")</f>
        <v>経営開始資金</v>
      </c>
      <c r="F165" s="43" t="s">
        <v>10</v>
      </c>
      <c r="G165" s="60" t="s">
        <v>199</v>
      </c>
      <c r="H165" s="130"/>
      <c r="I165" s="168"/>
      <c r="J165" s="90" t="s">
        <v>166</v>
      </c>
      <c r="K165" s="85" t="s">
        <v>184</v>
      </c>
      <c r="L165" s="86" t="s">
        <v>186</v>
      </c>
      <c r="N165" s="10"/>
    </row>
    <row r="166" spans="1:14" ht="76.5" customHeight="1">
      <c r="A166" s="105"/>
      <c r="B166" s="138"/>
      <c r="C166" s="161"/>
      <c r="D166" s="15"/>
      <c r="E166" s="124" t="s">
        <v>305</v>
      </c>
      <c r="F166" s="125"/>
      <c r="G166" s="61"/>
      <c r="H166" s="130"/>
      <c r="I166" s="168"/>
      <c r="J166" s="90" t="s">
        <v>166</v>
      </c>
      <c r="K166" s="85" t="s">
        <v>184</v>
      </c>
      <c r="L166" s="86" t="s">
        <v>186</v>
      </c>
      <c r="N166" s="10"/>
    </row>
    <row r="167" spans="1:14" ht="39.75" customHeight="1">
      <c r="A167" s="105"/>
      <c r="B167" s="138"/>
      <c r="C167" s="161"/>
      <c r="D167" s="16"/>
      <c r="E167" s="33" t="s">
        <v>216</v>
      </c>
      <c r="F167" s="46" t="s">
        <v>120</v>
      </c>
      <c r="G167" s="62"/>
      <c r="H167" s="130"/>
      <c r="I167" s="168"/>
      <c r="J167" s="90" t="s">
        <v>166</v>
      </c>
      <c r="K167" s="85" t="s">
        <v>184</v>
      </c>
      <c r="L167" s="86" t="s">
        <v>186</v>
      </c>
      <c r="N167" s="10"/>
    </row>
    <row r="168" spans="1:14" ht="65.25" customHeight="1">
      <c r="A168" s="105"/>
      <c r="B168" s="138"/>
      <c r="C168" s="161"/>
      <c r="D168" s="15"/>
      <c r="E168" s="124" t="s">
        <v>88</v>
      </c>
      <c r="F168" s="125"/>
      <c r="G168" s="54"/>
      <c r="H168" s="130"/>
      <c r="I168" s="168"/>
      <c r="J168" s="90" t="s">
        <v>166</v>
      </c>
      <c r="K168" s="85" t="s">
        <v>184</v>
      </c>
      <c r="L168" s="86" t="s">
        <v>186</v>
      </c>
      <c r="N168" s="10"/>
    </row>
    <row r="169" spans="1:14" ht="39.75" customHeight="1">
      <c r="A169" s="105"/>
      <c r="B169" s="138"/>
      <c r="C169" s="161"/>
      <c r="D169" s="16"/>
      <c r="E169" s="33" t="s">
        <v>86</v>
      </c>
      <c r="F169" s="46" t="s">
        <v>10</v>
      </c>
      <c r="G169" s="55"/>
      <c r="H169" s="130"/>
      <c r="I169" s="168"/>
      <c r="J169" s="90" t="s">
        <v>166</v>
      </c>
      <c r="K169" s="85" t="s">
        <v>184</v>
      </c>
      <c r="L169" s="86" t="s">
        <v>186</v>
      </c>
      <c r="N169" s="10"/>
    </row>
    <row r="170" spans="1:14" ht="76.5" customHeight="1">
      <c r="A170" s="105"/>
      <c r="B170" s="138"/>
      <c r="C170" s="161"/>
      <c r="D170" s="15"/>
      <c r="E170" s="124" t="s">
        <v>306</v>
      </c>
      <c r="F170" s="125"/>
      <c r="G170" s="54"/>
      <c r="H170" s="130"/>
      <c r="I170" s="168"/>
      <c r="J170" s="90" t="s">
        <v>166</v>
      </c>
      <c r="K170" s="85" t="s">
        <v>184</v>
      </c>
      <c r="L170" s="86" t="s">
        <v>186</v>
      </c>
      <c r="N170" s="10"/>
    </row>
    <row r="171" spans="1:14" ht="39.75" customHeight="1">
      <c r="A171" s="105"/>
      <c r="B171" s="138"/>
      <c r="C171" s="161"/>
      <c r="D171" s="16"/>
      <c r="E171" s="33" t="s">
        <v>80</v>
      </c>
      <c r="F171" s="46" t="s">
        <v>10</v>
      </c>
      <c r="G171" s="60"/>
      <c r="H171" s="130"/>
      <c r="I171" s="168"/>
      <c r="J171" s="90" t="s">
        <v>166</v>
      </c>
      <c r="K171" s="85" t="s">
        <v>184</v>
      </c>
      <c r="L171" s="86" t="s">
        <v>186</v>
      </c>
      <c r="N171" s="10"/>
    </row>
    <row r="172" spans="1:14" ht="76.5" customHeight="1">
      <c r="A172" s="105"/>
      <c r="B172" s="138"/>
      <c r="C172" s="161"/>
      <c r="D172" s="15"/>
      <c r="E172" s="158" t="s">
        <v>87</v>
      </c>
      <c r="F172" s="159"/>
      <c r="G172" s="61"/>
      <c r="H172" s="130"/>
      <c r="I172" s="168"/>
      <c r="J172" s="90" t="s">
        <v>166</v>
      </c>
      <c r="K172" s="85" t="s">
        <v>184</v>
      </c>
      <c r="L172" s="86" t="s">
        <v>186</v>
      </c>
      <c r="N172" s="10"/>
    </row>
    <row r="173" spans="1:14" ht="39.75" customHeight="1">
      <c r="A173" s="105"/>
      <c r="B173" s="138"/>
      <c r="C173" s="161"/>
      <c r="D173" s="16"/>
      <c r="E173" s="17" t="s">
        <v>40</v>
      </c>
      <c r="F173" s="43" t="s">
        <v>10</v>
      </c>
      <c r="G173" s="60"/>
      <c r="H173" s="130"/>
      <c r="I173" s="168"/>
      <c r="J173" s="90" t="s">
        <v>166</v>
      </c>
      <c r="K173" s="85" t="s">
        <v>184</v>
      </c>
      <c r="L173" s="86" t="s">
        <v>186</v>
      </c>
      <c r="N173" s="10"/>
    </row>
    <row r="174" spans="1:14" ht="65.25" customHeight="1">
      <c r="A174" s="105"/>
      <c r="B174" s="138"/>
      <c r="C174" s="161"/>
      <c r="D174" s="15"/>
      <c r="E174" s="158" t="s">
        <v>261</v>
      </c>
      <c r="F174" s="159"/>
      <c r="G174" s="61"/>
      <c r="H174" s="130"/>
      <c r="I174" s="168"/>
      <c r="J174" s="90" t="s">
        <v>166</v>
      </c>
      <c r="K174" s="85" t="s">
        <v>184</v>
      </c>
      <c r="L174" s="86" t="s">
        <v>186</v>
      </c>
      <c r="N174" s="10"/>
    </row>
    <row r="175" spans="1:14" ht="39.75" customHeight="1">
      <c r="A175" s="105"/>
      <c r="B175" s="138"/>
      <c r="C175" s="161"/>
      <c r="D175" s="16"/>
      <c r="E175" s="19" t="s">
        <v>41</v>
      </c>
      <c r="F175" s="43" t="s">
        <v>10</v>
      </c>
      <c r="G175" s="55"/>
      <c r="H175" s="130"/>
      <c r="I175" s="168"/>
      <c r="J175" s="90" t="s">
        <v>166</v>
      </c>
      <c r="K175" s="85" t="s">
        <v>184</v>
      </c>
      <c r="L175" s="86" t="s">
        <v>186</v>
      </c>
      <c r="N175" s="10"/>
    </row>
    <row r="176" spans="1:14" ht="65.25" customHeight="1">
      <c r="A176" s="105"/>
      <c r="B176" s="138"/>
      <c r="C176" s="161"/>
      <c r="D176" s="15"/>
      <c r="E176" s="158" t="s">
        <v>262</v>
      </c>
      <c r="F176" s="159"/>
      <c r="G176" s="54"/>
      <c r="H176" s="130"/>
      <c r="I176" s="168"/>
      <c r="J176" s="90" t="s">
        <v>166</v>
      </c>
      <c r="K176" s="85" t="s">
        <v>184</v>
      </c>
      <c r="L176" s="86" t="s">
        <v>186</v>
      </c>
      <c r="N176" s="10"/>
    </row>
    <row r="177" spans="1:14" ht="39.75" customHeight="1">
      <c r="A177" s="105"/>
      <c r="B177" s="138"/>
      <c r="C177" s="161"/>
      <c r="D177" s="16"/>
      <c r="E177" s="19" t="s">
        <v>42</v>
      </c>
      <c r="F177" s="43" t="s">
        <v>10</v>
      </c>
      <c r="G177" s="60"/>
      <c r="H177" s="130"/>
      <c r="I177" s="168"/>
      <c r="J177" s="90" t="s">
        <v>166</v>
      </c>
      <c r="K177" s="85" t="s">
        <v>184</v>
      </c>
      <c r="L177" s="86" t="s">
        <v>186</v>
      </c>
      <c r="N177" s="10"/>
    </row>
    <row r="178" spans="1:14" ht="65.25" customHeight="1">
      <c r="A178" s="105"/>
      <c r="B178" s="138"/>
      <c r="C178" s="161"/>
      <c r="D178" s="15"/>
      <c r="E178" s="158" t="s">
        <v>263</v>
      </c>
      <c r="F178" s="159"/>
      <c r="G178" s="61"/>
      <c r="H178" s="130"/>
      <c r="I178" s="168"/>
      <c r="J178" s="90" t="s">
        <v>166</v>
      </c>
      <c r="K178" s="85" t="s">
        <v>184</v>
      </c>
      <c r="L178" s="86" t="s">
        <v>186</v>
      </c>
      <c r="N178" s="10"/>
    </row>
    <row r="179" spans="1:14" ht="39.75" customHeight="1">
      <c r="A179" s="105"/>
      <c r="B179" s="138"/>
      <c r="C179" s="161"/>
      <c r="D179" s="16"/>
      <c r="E179" s="19" t="s">
        <v>43</v>
      </c>
      <c r="F179" s="43" t="s">
        <v>10</v>
      </c>
      <c r="G179" s="55"/>
      <c r="H179" s="130"/>
      <c r="I179" s="168"/>
      <c r="J179" s="90" t="s">
        <v>166</v>
      </c>
      <c r="K179" s="85" t="s">
        <v>184</v>
      </c>
      <c r="L179" s="86" t="s">
        <v>186</v>
      </c>
      <c r="N179" s="10"/>
    </row>
    <row r="180" spans="1:14" ht="65.25" customHeight="1">
      <c r="A180" s="105"/>
      <c r="B180" s="138"/>
      <c r="C180" s="161"/>
      <c r="D180" s="15"/>
      <c r="E180" s="158" t="s">
        <v>264</v>
      </c>
      <c r="F180" s="159"/>
      <c r="G180" s="54"/>
      <c r="H180" s="130"/>
      <c r="I180" s="168"/>
      <c r="J180" s="90" t="s">
        <v>166</v>
      </c>
      <c r="K180" s="85" t="s">
        <v>184</v>
      </c>
      <c r="L180" s="86" t="s">
        <v>186</v>
      </c>
      <c r="N180" s="10"/>
    </row>
    <row r="181" spans="1:14" ht="39.75" customHeight="1">
      <c r="A181" s="105"/>
      <c r="B181" s="138"/>
      <c r="C181" s="161"/>
      <c r="D181" s="16"/>
      <c r="E181" s="33" t="s">
        <v>207</v>
      </c>
      <c r="F181" s="43" t="s">
        <v>10</v>
      </c>
      <c r="G181" s="60"/>
      <c r="H181" s="130"/>
      <c r="I181" s="168"/>
      <c r="J181" s="90" t="s">
        <v>166</v>
      </c>
      <c r="K181" s="85" t="s">
        <v>184</v>
      </c>
      <c r="L181" s="86" t="s">
        <v>186</v>
      </c>
      <c r="N181" s="10"/>
    </row>
    <row r="182" spans="1:14" ht="65.25" customHeight="1">
      <c r="A182" s="105"/>
      <c r="B182" s="138"/>
      <c r="C182" s="161"/>
      <c r="D182" s="15"/>
      <c r="E182" s="158" t="s">
        <v>265</v>
      </c>
      <c r="F182" s="159"/>
      <c r="G182" s="61"/>
      <c r="H182" s="130"/>
      <c r="I182" s="168"/>
      <c r="J182" s="90" t="s">
        <v>166</v>
      </c>
      <c r="K182" s="85" t="s">
        <v>184</v>
      </c>
      <c r="L182" s="86" t="s">
        <v>186</v>
      </c>
      <c r="N182" s="10"/>
    </row>
    <row r="183" spans="1:14" ht="39.75" customHeight="1">
      <c r="A183" s="105"/>
      <c r="B183" s="138"/>
      <c r="C183" s="161"/>
      <c r="D183" s="16"/>
      <c r="E183" s="17" t="s">
        <v>44</v>
      </c>
      <c r="F183" s="43" t="s">
        <v>6</v>
      </c>
      <c r="G183" s="55"/>
      <c r="H183" s="130"/>
      <c r="I183" s="168"/>
      <c r="J183" s="90" t="s">
        <v>166</v>
      </c>
      <c r="K183" s="85" t="s">
        <v>184</v>
      </c>
      <c r="L183" s="86" t="s">
        <v>186</v>
      </c>
      <c r="N183" s="10"/>
    </row>
    <row r="184" spans="1:14" ht="65.25" customHeight="1">
      <c r="A184" s="105"/>
      <c r="B184" s="138"/>
      <c r="C184" s="161"/>
      <c r="D184" s="15"/>
      <c r="E184" s="158" t="s">
        <v>266</v>
      </c>
      <c r="F184" s="159"/>
      <c r="G184" s="54"/>
      <c r="H184" s="130"/>
      <c r="I184" s="168"/>
      <c r="J184" s="90" t="s">
        <v>166</v>
      </c>
      <c r="K184" s="85" t="s">
        <v>184</v>
      </c>
      <c r="L184" s="86" t="s">
        <v>186</v>
      </c>
      <c r="N184" s="10"/>
    </row>
    <row r="185" spans="1:14" ht="33.75" customHeight="1">
      <c r="A185" s="105"/>
      <c r="B185" s="138"/>
      <c r="C185" s="161"/>
      <c r="D185" s="18"/>
      <c r="E185" s="67" t="str">
        <f>HYPERLINK(G185, "新規就農者支援事業補助金")</f>
        <v>新規就農者支援事業補助金</v>
      </c>
      <c r="F185" s="42" t="s">
        <v>10</v>
      </c>
      <c r="G185" s="88" t="s">
        <v>200</v>
      </c>
      <c r="H185" s="130"/>
      <c r="I185" s="168"/>
      <c r="J185" s="90" t="s">
        <v>166</v>
      </c>
      <c r="K185" s="85" t="s">
        <v>184</v>
      </c>
      <c r="L185" s="86" t="s">
        <v>186</v>
      </c>
      <c r="N185" s="10"/>
    </row>
    <row r="186" spans="1:14" ht="66" customHeight="1">
      <c r="A186" s="105"/>
      <c r="B186" s="138"/>
      <c r="C186" s="161"/>
      <c r="D186" s="22"/>
      <c r="E186" s="158" t="s">
        <v>267</v>
      </c>
      <c r="F186" s="159"/>
      <c r="G186" s="61"/>
      <c r="H186" s="130"/>
      <c r="I186" s="168"/>
      <c r="J186" s="90" t="s">
        <v>166</v>
      </c>
      <c r="K186" s="85" t="s">
        <v>184</v>
      </c>
      <c r="L186" s="86" t="s">
        <v>186</v>
      </c>
      <c r="N186" s="10"/>
    </row>
    <row r="187" spans="1:14" ht="33.75" customHeight="1">
      <c r="A187" s="105"/>
      <c r="B187" s="138"/>
      <c r="C187" s="161"/>
      <c r="D187" s="16"/>
      <c r="E187" s="96" t="str">
        <f>HYPERLINK(G187, "農業者経営安定支援事業補助金")</f>
        <v>農業者経営安定支援事業補助金</v>
      </c>
      <c r="F187" s="42" t="s">
        <v>10</v>
      </c>
      <c r="G187" s="54" t="s">
        <v>201</v>
      </c>
      <c r="H187" s="130"/>
      <c r="I187" s="168"/>
      <c r="J187" s="90" t="s">
        <v>166</v>
      </c>
      <c r="K187" s="85" t="s">
        <v>184</v>
      </c>
      <c r="L187" s="86" t="s">
        <v>186</v>
      </c>
      <c r="N187" s="10"/>
    </row>
    <row r="188" spans="1:14" ht="66" customHeight="1">
      <c r="A188" s="105"/>
      <c r="B188" s="138"/>
      <c r="C188" s="161"/>
      <c r="D188" s="22"/>
      <c r="E188" s="158" t="s">
        <v>268</v>
      </c>
      <c r="F188" s="159"/>
      <c r="G188" s="54"/>
      <c r="H188" s="130"/>
      <c r="I188" s="169"/>
      <c r="J188" s="90" t="s">
        <v>166</v>
      </c>
      <c r="K188" s="85" t="s">
        <v>184</v>
      </c>
      <c r="L188" s="86" t="s">
        <v>186</v>
      </c>
      <c r="N188" s="10"/>
    </row>
    <row r="189" spans="1:14" ht="39.75" customHeight="1">
      <c r="A189" s="105"/>
      <c r="B189" s="138"/>
      <c r="C189" s="161"/>
      <c r="D189" s="16"/>
      <c r="E189" s="23" t="s">
        <v>45</v>
      </c>
      <c r="F189" s="45" t="s">
        <v>6</v>
      </c>
      <c r="G189" s="60"/>
      <c r="H189" s="130"/>
      <c r="I189" s="151" t="s">
        <v>121</v>
      </c>
      <c r="J189" s="90" t="s">
        <v>166</v>
      </c>
      <c r="K189" s="85" t="s">
        <v>184</v>
      </c>
      <c r="L189" s="86" t="s">
        <v>186</v>
      </c>
      <c r="N189" s="10"/>
    </row>
    <row r="190" spans="1:14" ht="76.5" customHeight="1">
      <c r="A190" s="105"/>
      <c r="B190" s="138"/>
      <c r="C190" s="161"/>
      <c r="D190" s="15"/>
      <c r="E190" s="158" t="s">
        <v>269</v>
      </c>
      <c r="F190" s="159"/>
      <c r="G190" s="61"/>
      <c r="H190" s="130"/>
      <c r="I190" s="151"/>
      <c r="J190" s="90" t="s">
        <v>166</v>
      </c>
      <c r="K190" s="85" t="s">
        <v>184</v>
      </c>
      <c r="L190" s="86" t="s">
        <v>186</v>
      </c>
      <c r="N190" s="10"/>
    </row>
    <row r="191" spans="1:14" ht="39.75" customHeight="1">
      <c r="A191" s="105"/>
      <c r="B191" s="138"/>
      <c r="C191" s="161"/>
      <c r="D191" s="16"/>
      <c r="E191" s="19" t="s">
        <v>46</v>
      </c>
      <c r="F191" s="43" t="s">
        <v>10</v>
      </c>
      <c r="G191" s="55"/>
      <c r="H191" s="130"/>
      <c r="I191" s="164" t="s">
        <v>122</v>
      </c>
      <c r="J191" s="90" t="s">
        <v>166</v>
      </c>
      <c r="K191" s="85" t="s">
        <v>184</v>
      </c>
      <c r="L191" s="86" t="s">
        <v>186</v>
      </c>
      <c r="N191" s="10"/>
    </row>
    <row r="192" spans="1:14" ht="66" customHeight="1">
      <c r="A192" s="105"/>
      <c r="B192" s="138"/>
      <c r="C192" s="161"/>
      <c r="D192" s="15"/>
      <c r="E192" s="158" t="s">
        <v>202</v>
      </c>
      <c r="F192" s="159"/>
      <c r="G192" s="54"/>
      <c r="H192" s="130"/>
      <c r="I192" s="164"/>
      <c r="J192" s="90" t="s">
        <v>166</v>
      </c>
      <c r="K192" s="85" t="s">
        <v>184</v>
      </c>
      <c r="L192" s="86" t="s">
        <v>186</v>
      </c>
      <c r="N192" s="10"/>
    </row>
    <row r="193" spans="1:14" ht="39.75" customHeight="1">
      <c r="A193" s="105"/>
      <c r="B193" s="138"/>
      <c r="C193" s="161"/>
      <c r="D193" s="16"/>
      <c r="E193" s="33" t="s">
        <v>203</v>
      </c>
      <c r="F193" s="43" t="s">
        <v>77</v>
      </c>
      <c r="G193" s="60"/>
      <c r="H193" s="130"/>
      <c r="I193" s="113" t="s">
        <v>149</v>
      </c>
      <c r="J193" s="90" t="s">
        <v>166</v>
      </c>
      <c r="K193" s="85" t="s">
        <v>184</v>
      </c>
      <c r="L193" s="86" t="s">
        <v>186</v>
      </c>
      <c r="N193" s="10"/>
    </row>
    <row r="194" spans="1:14" ht="66" customHeight="1" thickBot="1">
      <c r="A194" s="106"/>
      <c r="B194" s="139"/>
      <c r="C194" s="162"/>
      <c r="D194" s="26"/>
      <c r="E194" s="158" t="s">
        <v>270</v>
      </c>
      <c r="F194" s="159"/>
      <c r="G194" s="73"/>
      <c r="H194" s="131"/>
      <c r="I194" s="157"/>
      <c r="J194" s="90" t="s">
        <v>166</v>
      </c>
      <c r="K194" s="85" t="s">
        <v>184</v>
      </c>
      <c r="L194" s="86" t="s">
        <v>186</v>
      </c>
      <c r="N194" s="10"/>
    </row>
    <row r="195" spans="1:14" ht="39.75" customHeight="1">
      <c r="A195" s="105">
        <v>5</v>
      </c>
      <c r="B195" s="194" t="s">
        <v>33</v>
      </c>
      <c r="C195" s="161" t="s">
        <v>34</v>
      </c>
      <c r="D195" s="28"/>
      <c r="E195" s="67" t="str">
        <f>HYPERLINK(G195, "経営力向上支援事業利子補給補助金")</f>
        <v>経営力向上支援事業利子補給補助金</v>
      </c>
      <c r="F195" s="43" t="s">
        <v>10</v>
      </c>
      <c r="G195" s="55" t="str">
        <f>HYPERLINK("#", "https://www.city.ise.mie.jp/sangyo/syoukou/sangyoshien/1009569/1009572.html")</f>
        <v>https://www.city.ise.mie.jp/sangyo/syoukou/sangyoshien/1009569/1009572.html</v>
      </c>
      <c r="H195" s="145" t="s">
        <v>35</v>
      </c>
      <c r="I195" s="114" t="s">
        <v>36</v>
      </c>
      <c r="J195" s="90" t="s">
        <v>94</v>
      </c>
      <c r="K195" s="85" t="s">
        <v>184</v>
      </c>
      <c r="L195" s="86" t="s">
        <v>187</v>
      </c>
      <c r="N195" s="10"/>
    </row>
    <row r="196" spans="1:14" ht="111.75" customHeight="1">
      <c r="A196" s="105"/>
      <c r="B196" s="194"/>
      <c r="C196" s="161"/>
      <c r="D196" s="15"/>
      <c r="E196" s="158" t="s">
        <v>271</v>
      </c>
      <c r="F196" s="159"/>
      <c r="G196" s="54"/>
      <c r="H196" s="145"/>
      <c r="I196" s="114"/>
      <c r="J196" s="90" t="s">
        <v>94</v>
      </c>
      <c r="K196" s="85" t="s">
        <v>184</v>
      </c>
      <c r="L196" s="86" t="s">
        <v>187</v>
      </c>
      <c r="N196" s="10"/>
    </row>
    <row r="197" spans="1:14" ht="39.75" customHeight="1">
      <c r="A197" s="105"/>
      <c r="B197" s="194"/>
      <c r="C197" s="161"/>
      <c r="D197" s="16"/>
      <c r="E197" s="67" t="str">
        <f>HYPERLINK(G197, "住宅リフォーム促進事業補助金")</f>
        <v>住宅リフォーム促進事業補助金</v>
      </c>
      <c r="F197" s="43" t="s">
        <v>10</v>
      </c>
      <c r="G197" s="60" t="str">
        <f>HYPERLINK("#", "https://www.city.ise.mie.jp/sangyo/syoukou/sangyoshien/1015081.html")</f>
        <v>https://www.city.ise.mie.jp/sangyo/syoukou/sangyoshien/1015081.html</v>
      </c>
      <c r="H197" s="145"/>
      <c r="I197" s="114"/>
      <c r="J197" s="90" t="s">
        <v>94</v>
      </c>
      <c r="K197" s="85" t="s">
        <v>184</v>
      </c>
      <c r="L197" s="86" t="s">
        <v>187</v>
      </c>
      <c r="N197" s="10"/>
    </row>
    <row r="198" spans="1:14" ht="75.75" customHeight="1">
      <c r="A198" s="105"/>
      <c r="B198" s="194"/>
      <c r="C198" s="161"/>
      <c r="D198" s="15"/>
      <c r="E198" s="124" t="s">
        <v>92</v>
      </c>
      <c r="F198" s="125"/>
      <c r="G198" s="61"/>
      <c r="H198" s="145"/>
      <c r="I198" s="114"/>
      <c r="J198" s="90" t="s">
        <v>94</v>
      </c>
      <c r="K198" s="85" t="s">
        <v>184</v>
      </c>
      <c r="L198" s="86" t="s">
        <v>187</v>
      </c>
      <c r="N198" s="10"/>
    </row>
    <row r="199" spans="1:14" ht="39.75" customHeight="1">
      <c r="A199" s="105"/>
      <c r="B199" s="194"/>
      <c r="C199" s="161"/>
      <c r="D199" s="16"/>
      <c r="E199" s="67" t="str">
        <f>HYPERLINK(G199, "商談会等出展支援事業補助金")</f>
        <v>商談会等出展支援事業補助金</v>
      </c>
      <c r="F199" s="43" t="s">
        <v>10</v>
      </c>
      <c r="G199" s="55" t="str">
        <f>HYPERLINK("#", "https://www.city.ise.mie.jp/sangyo/syoukou/sangyoshien/1002973.html")</f>
        <v>https://www.city.ise.mie.jp/sangyo/syoukou/sangyoshien/1002973.html</v>
      </c>
      <c r="H199" s="145"/>
      <c r="I199" s="114"/>
      <c r="J199" s="90" t="s">
        <v>94</v>
      </c>
      <c r="K199" s="85" t="s">
        <v>184</v>
      </c>
      <c r="L199" s="86" t="s">
        <v>187</v>
      </c>
      <c r="N199" s="10"/>
    </row>
    <row r="200" spans="1:14" ht="128.25" customHeight="1">
      <c r="A200" s="105"/>
      <c r="B200" s="194"/>
      <c r="C200" s="161"/>
      <c r="D200" s="15"/>
      <c r="E200" s="158" t="s">
        <v>85</v>
      </c>
      <c r="F200" s="125"/>
      <c r="G200" s="54"/>
      <c r="H200" s="145"/>
      <c r="I200" s="114"/>
      <c r="J200" s="90" t="s">
        <v>94</v>
      </c>
      <c r="K200" s="85" t="s">
        <v>184</v>
      </c>
      <c r="L200" s="86" t="s">
        <v>187</v>
      </c>
      <c r="N200" s="10"/>
    </row>
    <row r="201" spans="1:14" ht="39.75" customHeight="1">
      <c r="A201" s="105"/>
      <c r="B201" s="194"/>
      <c r="C201" s="161"/>
      <c r="D201" s="16"/>
      <c r="E201" s="67" t="str">
        <f>HYPERLINK(G201, "商業魅力アップ支援事業補助金")</f>
        <v>商業魅力アップ支援事業補助金</v>
      </c>
      <c r="F201" s="43" t="s">
        <v>10</v>
      </c>
      <c r="G201" s="60" t="str">
        <f>HYPERLINK("#", "https://www.city.ise.mie.jp/sangyo/syoukou/sangyoshien/1009193.html")</f>
        <v>https://www.city.ise.mie.jp/sangyo/syoukou/sangyoshien/1009193.html</v>
      </c>
      <c r="H201" s="145"/>
      <c r="I201" s="114"/>
      <c r="J201" s="90" t="s">
        <v>94</v>
      </c>
      <c r="K201" s="85" t="s">
        <v>184</v>
      </c>
      <c r="L201" s="86" t="s">
        <v>187</v>
      </c>
      <c r="N201" s="10"/>
    </row>
    <row r="202" spans="1:14" ht="76.5" customHeight="1">
      <c r="A202" s="105"/>
      <c r="B202" s="194"/>
      <c r="C202" s="161"/>
      <c r="D202" s="15"/>
      <c r="E202" s="124" t="s">
        <v>272</v>
      </c>
      <c r="F202" s="125"/>
      <c r="G202" s="61"/>
      <c r="H202" s="145"/>
      <c r="I202" s="114"/>
      <c r="J202" s="90" t="s">
        <v>94</v>
      </c>
      <c r="K202" s="85" t="s">
        <v>184</v>
      </c>
      <c r="L202" s="86" t="s">
        <v>187</v>
      </c>
      <c r="N202" s="10"/>
    </row>
    <row r="203" spans="1:14" ht="39.75" customHeight="1">
      <c r="A203" s="105"/>
      <c r="B203" s="194"/>
      <c r="C203" s="161"/>
      <c r="D203" s="16"/>
      <c r="E203" s="67" t="str">
        <f>HYPERLINK(G203, "新産業創出支援事業補助金")</f>
        <v>新産業創出支援事業補助金</v>
      </c>
      <c r="F203" s="43" t="s">
        <v>10</v>
      </c>
      <c r="G203" s="55" t="str">
        <f>HYPERLINK("#", "https://www.city.ise.mie.jp/sangyo/syoukou/sangyoshien/1002957.html")</f>
        <v>https://www.city.ise.mie.jp/sangyo/syoukou/sangyoshien/1002957.html</v>
      </c>
      <c r="H203" s="145"/>
      <c r="I203" s="114"/>
      <c r="J203" s="90" t="s">
        <v>94</v>
      </c>
      <c r="K203" s="85" t="s">
        <v>184</v>
      </c>
      <c r="L203" s="86" t="s">
        <v>187</v>
      </c>
      <c r="N203" s="10"/>
    </row>
    <row r="204" spans="1:14" ht="76.5" customHeight="1">
      <c r="A204" s="105"/>
      <c r="B204" s="194"/>
      <c r="C204" s="161"/>
      <c r="D204" s="15"/>
      <c r="E204" s="124" t="s">
        <v>273</v>
      </c>
      <c r="F204" s="125"/>
      <c r="G204" s="54"/>
      <c r="H204" s="145"/>
      <c r="I204" s="114"/>
      <c r="J204" s="90" t="s">
        <v>94</v>
      </c>
      <c r="K204" s="85" t="s">
        <v>184</v>
      </c>
      <c r="L204" s="86" t="s">
        <v>187</v>
      </c>
      <c r="N204" s="10"/>
    </row>
    <row r="205" spans="1:14" ht="39.75" customHeight="1">
      <c r="A205" s="105"/>
      <c r="B205" s="194"/>
      <c r="C205" s="161"/>
      <c r="D205" s="16"/>
      <c r="E205" s="67" t="str">
        <f>HYPERLINK(G205, "伝統工芸品等再生支援事業補助金")</f>
        <v>伝統工芸品等再生支援事業補助金</v>
      </c>
      <c r="F205" s="43" t="s">
        <v>10</v>
      </c>
      <c r="G205" s="60" t="str">
        <f>HYPERLINK("#", "https://www.city.ise.mie.jp/sangyo/syoukou/sangyoshien/1002959.html")</f>
        <v>https://www.city.ise.mie.jp/sangyo/syoukou/sangyoshien/1002959.html</v>
      </c>
      <c r="H205" s="145"/>
      <c r="I205" s="114"/>
      <c r="J205" s="90" t="s">
        <v>94</v>
      </c>
      <c r="K205" s="85" t="s">
        <v>184</v>
      </c>
      <c r="L205" s="86" t="s">
        <v>187</v>
      </c>
      <c r="N205" s="10"/>
    </row>
    <row r="206" spans="1:14" ht="76.5" customHeight="1">
      <c r="A206" s="105"/>
      <c r="B206" s="194"/>
      <c r="C206" s="161"/>
      <c r="D206" s="15"/>
      <c r="E206" s="124" t="s">
        <v>274</v>
      </c>
      <c r="F206" s="125"/>
      <c r="G206" s="61"/>
      <c r="H206" s="145"/>
      <c r="I206" s="114"/>
      <c r="J206" s="90" t="s">
        <v>94</v>
      </c>
      <c r="K206" s="85" t="s">
        <v>184</v>
      </c>
      <c r="L206" s="86" t="s">
        <v>187</v>
      </c>
      <c r="N206" s="10"/>
    </row>
    <row r="207" spans="1:14" ht="39.75" customHeight="1">
      <c r="A207" s="105"/>
      <c r="B207" s="194"/>
      <c r="C207" s="161"/>
      <c r="D207" s="16"/>
      <c r="E207" s="67" t="str">
        <f>HYPERLINK(G207, "創業・移転促進補助金")</f>
        <v>創業・移転促進補助金</v>
      </c>
      <c r="F207" s="43" t="s">
        <v>10</v>
      </c>
      <c r="G207" s="55" t="str">
        <f>HYPERLINK("#", "https://www.city.ise.mie.jp/sangyo/syoukou/sangyoshien/1002972.html")</f>
        <v>https://www.city.ise.mie.jp/sangyo/syoukou/sangyoshien/1002972.html</v>
      </c>
      <c r="H207" s="145"/>
      <c r="I207" s="114"/>
      <c r="J207" s="90" t="s">
        <v>94</v>
      </c>
      <c r="K207" s="85" t="s">
        <v>184</v>
      </c>
      <c r="L207" s="86" t="s">
        <v>187</v>
      </c>
      <c r="N207" s="10"/>
    </row>
    <row r="208" spans="1:14" ht="75" customHeight="1">
      <c r="A208" s="105"/>
      <c r="B208" s="194"/>
      <c r="C208" s="161"/>
      <c r="D208" s="15"/>
      <c r="E208" s="124" t="s">
        <v>275</v>
      </c>
      <c r="F208" s="125"/>
      <c r="G208" s="54"/>
      <c r="H208" s="145"/>
      <c r="I208" s="114"/>
      <c r="J208" s="90" t="s">
        <v>94</v>
      </c>
      <c r="K208" s="85" t="s">
        <v>184</v>
      </c>
      <c r="L208" s="86" t="s">
        <v>187</v>
      </c>
      <c r="N208" s="10"/>
    </row>
    <row r="209" spans="1:15" ht="39.75" customHeight="1">
      <c r="A209" s="105"/>
      <c r="B209" s="194"/>
      <c r="C209" s="161"/>
      <c r="D209" s="16"/>
      <c r="E209" s="67" t="str">
        <f>HYPERLINK(G209, "創業・再挑戦アシスト資金利子補給補助金")</f>
        <v>創業・再挑戦アシスト資金利子補給補助金</v>
      </c>
      <c r="F209" s="43" t="s">
        <v>10</v>
      </c>
      <c r="G209" s="60" t="str">
        <f>HYPERLINK("#", "https://www.city.ise.mie.jp/sangyo/syoukou/sangyoshien/1009569/1009573.html")</f>
        <v>https://www.city.ise.mie.jp/sangyo/syoukou/sangyoshien/1009569/1009573.html</v>
      </c>
      <c r="H209" s="145"/>
      <c r="I209" s="114"/>
      <c r="J209" s="90" t="s">
        <v>94</v>
      </c>
      <c r="K209" s="85" t="s">
        <v>184</v>
      </c>
      <c r="L209" s="86" t="s">
        <v>187</v>
      </c>
      <c r="N209" s="10"/>
    </row>
    <row r="210" spans="1:15" ht="75.75" customHeight="1">
      <c r="A210" s="105"/>
      <c r="B210" s="194"/>
      <c r="C210" s="161"/>
      <c r="D210" s="15"/>
      <c r="E210" s="124" t="s">
        <v>276</v>
      </c>
      <c r="F210" s="125"/>
      <c r="G210" s="61"/>
      <c r="H210" s="145"/>
      <c r="I210" s="115"/>
      <c r="J210" s="90" t="s">
        <v>94</v>
      </c>
      <c r="K210" s="85" t="s">
        <v>184</v>
      </c>
      <c r="L210" s="86" t="s">
        <v>187</v>
      </c>
      <c r="N210" s="10"/>
    </row>
    <row r="211" spans="1:15" ht="39.75" customHeight="1">
      <c r="A211" s="105"/>
      <c r="B211" s="194"/>
      <c r="C211" s="161"/>
      <c r="D211" s="28"/>
      <c r="E211" s="67" t="str">
        <f>HYPERLINK(G211, "企業誘致優遇制度")</f>
        <v>企業誘致優遇制度</v>
      </c>
      <c r="F211" s="43" t="s">
        <v>10</v>
      </c>
      <c r="G211" s="55" t="str">
        <f>HYPERLINK("#", "https://www.city.ise.mie.jp/sangyo/syoukou/yuuchi/1002952.html")</f>
        <v>https://www.city.ise.mie.jp/sangyo/syoukou/yuuchi/1002952.html</v>
      </c>
      <c r="H211" s="145"/>
      <c r="I211" s="164" t="s">
        <v>37</v>
      </c>
      <c r="J211" s="90" t="s">
        <v>94</v>
      </c>
      <c r="K211" s="85" t="s">
        <v>184</v>
      </c>
      <c r="L211" s="86" t="s">
        <v>187</v>
      </c>
      <c r="N211" s="10"/>
    </row>
    <row r="212" spans="1:15" ht="78.75" customHeight="1">
      <c r="A212" s="105"/>
      <c r="B212" s="194"/>
      <c r="C212" s="161"/>
      <c r="D212" s="15"/>
      <c r="E212" s="124" t="s">
        <v>108</v>
      </c>
      <c r="F212" s="125"/>
      <c r="G212" s="54"/>
      <c r="H212" s="147"/>
      <c r="I212" s="164"/>
      <c r="J212" s="90" t="s">
        <v>94</v>
      </c>
      <c r="K212" s="85" t="s">
        <v>184</v>
      </c>
      <c r="L212" s="86" t="s">
        <v>187</v>
      </c>
      <c r="N212" s="10"/>
    </row>
    <row r="213" spans="1:15" s="10" customFormat="1" ht="39.75" customHeight="1">
      <c r="A213" s="105"/>
      <c r="B213" s="194"/>
      <c r="C213" s="161"/>
      <c r="D213" s="16"/>
      <c r="E213" s="67" t="str">
        <f>HYPERLINK(G213, "【再掲】事業所脱炭素化支援補助金")</f>
        <v>【再掲】事業所脱炭素化支援補助金</v>
      </c>
      <c r="F213" s="39" t="s">
        <v>10</v>
      </c>
      <c r="G213" s="60" t="s">
        <v>145</v>
      </c>
      <c r="H213" s="144" t="s">
        <v>17</v>
      </c>
      <c r="I213" s="113" t="s">
        <v>144</v>
      </c>
      <c r="J213" s="90" t="s">
        <v>153</v>
      </c>
      <c r="K213" s="85" t="s">
        <v>184</v>
      </c>
      <c r="L213" s="86" t="s">
        <v>187</v>
      </c>
      <c r="M213" s="92"/>
      <c r="O213"/>
    </row>
    <row r="214" spans="1:15" s="10" customFormat="1" ht="75.75" customHeight="1">
      <c r="A214" s="105"/>
      <c r="B214" s="194"/>
      <c r="C214" s="196"/>
      <c r="D214" s="15"/>
      <c r="E214" s="124" t="str">
        <f>E130</f>
        <v>　中小企業者が実施する温室効果ガス排出量算定及び省エネルギー診断等に対して補助金を交付します。</v>
      </c>
      <c r="F214" s="125"/>
      <c r="G214" s="61"/>
      <c r="H214" s="147"/>
      <c r="I214" s="115"/>
      <c r="J214" s="90" t="s">
        <v>153</v>
      </c>
      <c r="K214" s="85" t="s">
        <v>184</v>
      </c>
      <c r="L214" s="86" t="s">
        <v>187</v>
      </c>
      <c r="M214" s="92"/>
      <c r="O214"/>
    </row>
    <row r="215" spans="1:15" ht="39.75" customHeight="1">
      <c r="A215" s="105"/>
      <c r="B215" s="194"/>
      <c r="C215" s="160" t="s">
        <v>47</v>
      </c>
      <c r="D215" s="16"/>
      <c r="E215" s="67" t="str">
        <f>HYPERLINK(G215, "集大会・合宿誘致補助金")</f>
        <v>集大会・合宿誘致補助金</v>
      </c>
      <c r="F215" s="46" t="s">
        <v>10</v>
      </c>
      <c r="G215" s="55" t="str">
        <f>HYPERLINK("#", "https://www.city.ise.mie.jp/kyouiku/sports/hojo/index.html")</f>
        <v>https://www.city.ise.mie.jp/kyouiku/sports/hojo/index.html</v>
      </c>
      <c r="H215" s="144" t="s">
        <v>48</v>
      </c>
      <c r="I215" s="174" t="s">
        <v>109</v>
      </c>
      <c r="J215" s="90" t="s">
        <v>167</v>
      </c>
      <c r="K215" s="85" t="s">
        <v>184</v>
      </c>
      <c r="L215" s="86" t="s">
        <v>188</v>
      </c>
      <c r="N215" s="10"/>
    </row>
    <row r="216" spans="1:15" ht="66" customHeight="1" thickBot="1">
      <c r="A216" s="106"/>
      <c r="B216" s="195"/>
      <c r="C216" s="162"/>
      <c r="D216" s="26"/>
      <c r="E216" s="165" t="s">
        <v>307</v>
      </c>
      <c r="F216" s="166"/>
      <c r="G216" s="73"/>
      <c r="H216" s="173"/>
      <c r="I216" s="175"/>
      <c r="J216" s="90" t="s">
        <v>168</v>
      </c>
      <c r="K216" s="85" t="s">
        <v>184</v>
      </c>
      <c r="L216" s="86" t="s">
        <v>188</v>
      </c>
      <c r="N216" s="10"/>
    </row>
    <row r="217" spans="1:15" ht="39.75" customHeight="1">
      <c r="A217" s="105">
        <v>6</v>
      </c>
      <c r="B217" s="120" t="s">
        <v>151</v>
      </c>
      <c r="C217" s="117" t="s">
        <v>141</v>
      </c>
      <c r="D217" s="28"/>
      <c r="E217" s="67" t="str">
        <f>HYPERLINK(G217, "【再掲】住宅リフォーム促進事業補助金")</f>
        <v>【再掲】住宅リフォーム促進事業補助金</v>
      </c>
      <c r="F217" s="43" t="s">
        <v>10</v>
      </c>
      <c r="G217" s="55" t="str">
        <f>HYPERLINK("#", "https://www.city.ise.mie.jp/sangyo/syoukou/sangyoshien/1015081.html")</f>
        <v>https://www.city.ise.mie.jp/sangyo/syoukou/sangyoshien/1015081.html</v>
      </c>
      <c r="H217" s="145" t="s">
        <v>35</v>
      </c>
      <c r="I217" s="114" t="s">
        <v>36</v>
      </c>
      <c r="J217" s="90" t="s">
        <v>94</v>
      </c>
      <c r="K217" s="85" t="s">
        <v>190</v>
      </c>
      <c r="L217" s="86" t="s">
        <v>141</v>
      </c>
      <c r="N217" s="10"/>
    </row>
    <row r="218" spans="1:15" ht="66" customHeight="1">
      <c r="A218" s="105"/>
      <c r="B218" s="138"/>
      <c r="C218" s="117"/>
      <c r="D218" s="15"/>
      <c r="E218" s="124" t="str">
        <f>E198</f>
        <v>　申請者が居住する住宅のリフォーム工事を市内に本社がある建設業者等で行う場合に費用の一部を補助します。</v>
      </c>
      <c r="F218" s="125"/>
      <c r="G218" s="54"/>
      <c r="H218" s="147"/>
      <c r="I218" s="115"/>
      <c r="J218" s="90" t="s">
        <v>94</v>
      </c>
      <c r="K218" s="85" t="s">
        <v>189</v>
      </c>
      <c r="L218" s="86" t="s">
        <v>141</v>
      </c>
      <c r="N218" s="10"/>
    </row>
    <row r="219" spans="1:15" ht="39.75" customHeight="1">
      <c r="A219" s="105"/>
      <c r="B219" s="138"/>
      <c r="C219" s="117"/>
      <c r="D219" s="16"/>
      <c r="E219" s="67" t="str">
        <f>HYPERLINK(G219, "空家リフォーム促進事業補助金")</f>
        <v>空家リフォーム促進事業補助金</v>
      </c>
      <c r="F219" s="103" t="s">
        <v>103</v>
      </c>
      <c r="G219" s="63" t="str">
        <f>HYPERLINK("#", "https://www.city.ise.mie.jp/kurashi/hikkoshi_sumai/akiya/hojo/1015022.html")</f>
        <v>https://www.city.ise.mie.jp/kurashi/hikkoshi_sumai/akiya/hojo/1015022.html</v>
      </c>
      <c r="H219" s="144" t="s">
        <v>26</v>
      </c>
      <c r="I219" s="113" t="s">
        <v>150</v>
      </c>
      <c r="J219" s="90" t="s">
        <v>169</v>
      </c>
      <c r="K219" s="85" t="s">
        <v>190</v>
      </c>
      <c r="L219" s="86" t="s">
        <v>141</v>
      </c>
    </row>
    <row r="220" spans="1:15" ht="66" customHeight="1">
      <c r="A220" s="105"/>
      <c r="B220" s="138"/>
      <c r="C220" s="117"/>
      <c r="D220" s="15"/>
      <c r="E220" s="124" t="s">
        <v>277</v>
      </c>
      <c r="F220" s="125"/>
      <c r="G220" s="75"/>
      <c r="H220" s="145"/>
      <c r="I220" s="114"/>
      <c r="J220" s="90" t="s">
        <v>169</v>
      </c>
      <c r="K220" s="85" t="s">
        <v>190</v>
      </c>
      <c r="L220" s="86" t="s">
        <v>141</v>
      </c>
    </row>
    <row r="221" spans="1:15" ht="39.75" customHeight="1">
      <c r="A221" s="105"/>
      <c r="B221" s="138"/>
      <c r="C221" s="117"/>
      <c r="D221" s="16"/>
      <c r="E221" s="67" t="str">
        <f>HYPERLINK(G221, "空家購入促進事業補助金")</f>
        <v>空家購入促進事業補助金</v>
      </c>
      <c r="F221" s="50" t="s">
        <v>10</v>
      </c>
      <c r="G221" s="56" t="str">
        <f>HYPERLINK("#", "https://www.city.ise.mie.jp/kurashi/hikkoshi_sumai/akiya/hojo/1016905.html")</f>
        <v>https://www.city.ise.mie.jp/kurashi/hikkoshi_sumai/akiya/hojo/1016905.html</v>
      </c>
      <c r="H221" s="145"/>
      <c r="I221" s="114"/>
      <c r="J221" s="90" t="s">
        <v>169</v>
      </c>
      <c r="K221" s="85" t="s">
        <v>190</v>
      </c>
      <c r="L221" s="86" t="s">
        <v>141</v>
      </c>
    </row>
    <row r="222" spans="1:15" ht="65.25" customHeight="1">
      <c r="A222" s="105"/>
      <c r="B222" s="138"/>
      <c r="C222" s="117"/>
      <c r="D222" s="15"/>
      <c r="E222" s="124" t="s">
        <v>104</v>
      </c>
      <c r="F222" s="125"/>
      <c r="G222" s="56"/>
      <c r="H222" s="145"/>
      <c r="I222" s="115"/>
      <c r="J222" s="90" t="s">
        <v>169</v>
      </c>
      <c r="K222" s="85" t="s">
        <v>190</v>
      </c>
      <c r="L222" s="86" t="s">
        <v>141</v>
      </c>
    </row>
    <row r="223" spans="1:15" s="10" customFormat="1" ht="39.75" customHeight="1">
      <c r="A223" s="105"/>
      <c r="B223" s="138"/>
      <c r="C223" s="117"/>
      <c r="D223" s="16"/>
      <c r="E223" s="67" t="str">
        <f>HYPERLINK(G223, "木造住宅耐震診断等事業")</f>
        <v>木造住宅耐震診断等事業</v>
      </c>
      <c r="F223" s="43" t="s">
        <v>10</v>
      </c>
      <c r="G223" s="60" t="str">
        <f>HYPERLINK("#", "https://www.city.ise.mie.jp/bousai_kyukyu/bousai/hojo/1004977.html")</f>
        <v>https://www.city.ise.mie.jp/bousai_kyukyu/bousai/hojo/1004977.html</v>
      </c>
      <c r="H223" s="145"/>
      <c r="I223" s="113" t="s">
        <v>27</v>
      </c>
      <c r="J223" s="90" t="s">
        <v>169</v>
      </c>
      <c r="K223" s="85" t="s">
        <v>190</v>
      </c>
      <c r="L223" s="86" t="s">
        <v>141</v>
      </c>
      <c r="M223" s="92"/>
      <c r="O223"/>
    </row>
    <row r="224" spans="1:15" s="10" customFormat="1" ht="75.75" customHeight="1">
      <c r="A224" s="105"/>
      <c r="B224" s="138"/>
      <c r="C224" s="117"/>
      <c r="D224" s="15"/>
      <c r="E224" s="124" t="s">
        <v>278</v>
      </c>
      <c r="F224" s="125"/>
      <c r="G224" s="61"/>
      <c r="H224" s="145"/>
      <c r="I224" s="114"/>
      <c r="J224" s="90" t="s">
        <v>169</v>
      </c>
      <c r="K224" s="85" t="s">
        <v>190</v>
      </c>
      <c r="L224" s="86" t="s">
        <v>141</v>
      </c>
      <c r="M224" s="92"/>
      <c r="O224"/>
    </row>
    <row r="225" spans="1:15" s="10" customFormat="1" ht="39.75" customHeight="1">
      <c r="A225" s="105"/>
      <c r="B225" s="138"/>
      <c r="C225" s="117"/>
      <c r="D225" s="16"/>
      <c r="E225" s="67" t="str">
        <f>HYPERLINK(G225, "木造住宅耐震補強等事業費補助金")</f>
        <v>木造住宅耐震補強等事業費補助金</v>
      </c>
      <c r="F225" s="43" t="s">
        <v>10</v>
      </c>
      <c r="G225" s="55" t="str">
        <f>HYPERLINK("#", "https://www.city.ise.mie.jp/bousai_kyukyu/bousai/hojo/1013783.html")</f>
        <v>https://www.city.ise.mie.jp/bousai_kyukyu/bousai/hojo/1013783.html</v>
      </c>
      <c r="H225" s="145"/>
      <c r="I225" s="114"/>
      <c r="J225" s="90" t="s">
        <v>169</v>
      </c>
      <c r="K225" s="85" t="s">
        <v>190</v>
      </c>
      <c r="L225" s="86" t="s">
        <v>141</v>
      </c>
      <c r="M225" s="92"/>
      <c r="O225"/>
    </row>
    <row r="226" spans="1:15" s="10" customFormat="1" ht="75.75" customHeight="1">
      <c r="A226" s="105"/>
      <c r="B226" s="138"/>
      <c r="C226" s="117"/>
      <c r="D226" s="15"/>
      <c r="E226" s="124" t="s">
        <v>279</v>
      </c>
      <c r="F226" s="125"/>
      <c r="G226" s="61"/>
      <c r="H226" s="145"/>
      <c r="I226" s="114"/>
      <c r="J226" s="90" t="s">
        <v>169</v>
      </c>
      <c r="K226" s="85" t="s">
        <v>190</v>
      </c>
      <c r="L226" s="86" t="s">
        <v>141</v>
      </c>
      <c r="M226" s="92"/>
      <c r="O226"/>
    </row>
    <row r="227" spans="1:15" s="10" customFormat="1" ht="39.75" customHeight="1">
      <c r="A227" s="105"/>
      <c r="B227" s="138"/>
      <c r="C227" s="117"/>
      <c r="D227" s="16"/>
      <c r="E227" s="67" t="str">
        <f>HYPERLINK(G227, "木造住宅耐震補強設計事業費補助金")</f>
        <v>木造住宅耐震補強設計事業費補助金</v>
      </c>
      <c r="F227" s="43" t="s">
        <v>10</v>
      </c>
      <c r="G227" s="55" t="str">
        <f>HYPERLINK("#", "https://www.city.ise.mie.jp/bousai_kyukyu/bousai/hojo/1013783.html")</f>
        <v>https://www.city.ise.mie.jp/bousai_kyukyu/bousai/hojo/1013783.html</v>
      </c>
      <c r="H227" s="145"/>
      <c r="I227" s="114"/>
      <c r="J227" s="90" t="s">
        <v>169</v>
      </c>
      <c r="K227" s="85" t="s">
        <v>190</v>
      </c>
      <c r="L227" s="86" t="s">
        <v>141</v>
      </c>
      <c r="M227" s="92"/>
      <c r="O227"/>
    </row>
    <row r="228" spans="1:15" s="10" customFormat="1" ht="75.75" customHeight="1">
      <c r="A228" s="105"/>
      <c r="B228" s="138"/>
      <c r="C228" s="117"/>
      <c r="D228" s="15"/>
      <c r="E228" s="124" t="s">
        <v>280</v>
      </c>
      <c r="F228" s="125"/>
      <c r="G228" s="61"/>
      <c r="H228" s="145"/>
      <c r="I228" s="114"/>
      <c r="J228" s="90" t="s">
        <v>169</v>
      </c>
      <c r="K228" s="85" t="s">
        <v>190</v>
      </c>
      <c r="L228" s="86" t="s">
        <v>141</v>
      </c>
      <c r="M228" s="92"/>
      <c r="O228"/>
    </row>
    <row r="229" spans="1:15" s="10" customFormat="1" ht="39.75" customHeight="1">
      <c r="A229" s="105"/>
      <c r="B229" s="138"/>
      <c r="C229" s="117"/>
      <c r="D229" s="16"/>
      <c r="E229" s="67" t="str">
        <f>HYPERLINK(G229, "ブロック塀等撤去事業補助金")</f>
        <v>ブロック塀等撤去事業補助金</v>
      </c>
      <c r="F229" s="43" t="s">
        <v>10</v>
      </c>
      <c r="G229" s="55" t="str">
        <f>HYPERLINK("#", "https://www.city.ise.mie.jp/bousai_kyukyu/bousai/hojo/1004916.html")</f>
        <v>https://www.city.ise.mie.jp/bousai_kyukyu/bousai/hojo/1004916.html</v>
      </c>
      <c r="H229" s="145"/>
      <c r="I229" s="114"/>
      <c r="J229" s="90" t="s">
        <v>169</v>
      </c>
      <c r="K229" s="85" t="s">
        <v>191</v>
      </c>
      <c r="L229" s="86" t="s">
        <v>141</v>
      </c>
      <c r="M229" s="92"/>
      <c r="O229"/>
    </row>
    <row r="230" spans="1:15" s="10" customFormat="1" ht="75.75" customHeight="1">
      <c r="A230" s="105"/>
      <c r="B230" s="138"/>
      <c r="C230" s="117"/>
      <c r="D230" s="15"/>
      <c r="E230" s="124" t="s">
        <v>281</v>
      </c>
      <c r="F230" s="125"/>
      <c r="G230" s="61"/>
      <c r="H230" s="147"/>
      <c r="I230" s="115"/>
      <c r="J230" s="90" t="s">
        <v>169</v>
      </c>
      <c r="K230" s="85" t="s">
        <v>190</v>
      </c>
      <c r="L230" s="86" t="s">
        <v>141</v>
      </c>
      <c r="M230" s="92"/>
      <c r="O230"/>
    </row>
    <row r="231" spans="1:15" s="10" customFormat="1" ht="39.75" customHeight="1">
      <c r="A231" s="105"/>
      <c r="B231" s="138"/>
      <c r="C231" s="117"/>
      <c r="D231" s="16"/>
      <c r="E231" s="74" t="str">
        <f>HYPERLINK(G231, "【再掲】自家消費型太陽光発電設備等設置費補助金")</f>
        <v>【再掲】自家消費型太陽光発電設備等設置費補助金</v>
      </c>
      <c r="F231" s="39" t="s">
        <v>77</v>
      </c>
      <c r="G231" s="60" t="s">
        <v>143</v>
      </c>
      <c r="H231" s="144" t="s">
        <v>17</v>
      </c>
      <c r="I231" s="113" t="s">
        <v>144</v>
      </c>
      <c r="J231" s="90" t="s">
        <v>153</v>
      </c>
      <c r="K231" s="85" t="s">
        <v>190</v>
      </c>
      <c r="L231" s="86" t="s">
        <v>141</v>
      </c>
      <c r="M231" s="92"/>
      <c r="O231"/>
    </row>
    <row r="232" spans="1:15" s="10" customFormat="1" ht="75.75" customHeight="1">
      <c r="A232" s="105"/>
      <c r="B232" s="138"/>
      <c r="C232" s="117"/>
      <c r="D232" s="15"/>
      <c r="E232" s="124" t="str">
        <f>E128</f>
        <v>　住宅に設置する太陽光発電設備や定置型蓄電池に対して補助金を交付します。</v>
      </c>
      <c r="F232" s="125"/>
      <c r="G232" s="54"/>
      <c r="H232" s="145"/>
      <c r="I232" s="115"/>
      <c r="J232" s="90" t="s">
        <v>153</v>
      </c>
      <c r="K232" s="85" t="s">
        <v>190</v>
      </c>
      <c r="L232" s="86" t="s">
        <v>141</v>
      </c>
      <c r="M232" s="92"/>
      <c r="O232"/>
    </row>
    <row r="233" spans="1:15" s="10" customFormat="1" ht="39.75" customHeight="1">
      <c r="A233" s="105"/>
      <c r="B233" s="138"/>
      <c r="C233" s="117"/>
      <c r="D233" s="16"/>
      <c r="E233" s="67" t="str">
        <f>HYPERLINK(G233, "【再掲】合併処理浄化槽設置整備事業補助金")</f>
        <v>【再掲】合併処理浄化槽設置整備事業補助金</v>
      </c>
      <c r="F233" s="39" t="s">
        <v>10</v>
      </c>
      <c r="G233" s="60" t="str">
        <f>HYPERLINK("#", "https://www.city.ise.mie.jp/kurashi/kankyo/haisui/1001273.html")</f>
        <v>https://www.city.ise.mie.jp/kurashi/kankyo/haisui/1001273.html</v>
      </c>
      <c r="H233" s="145"/>
      <c r="I233" s="113" t="s">
        <v>30</v>
      </c>
      <c r="J233" s="90" t="s">
        <v>153</v>
      </c>
      <c r="K233" s="85" t="s">
        <v>190</v>
      </c>
      <c r="L233" s="86" t="s">
        <v>141</v>
      </c>
      <c r="M233" s="92"/>
      <c r="O233"/>
    </row>
    <row r="234" spans="1:15" s="10" customFormat="1" ht="75.75" customHeight="1">
      <c r="A234" s="105"/>
      <c r="B234" s="138"/>
      <c r="C234" s="117"/>
      <c r="D234" s="15"/>
      <c r="E234" s="124" t="str">
        <f>E132</f>
        <v>　きれいな水環境を保つため、し尿や生活雑排水をきれいにする合併処理浄化槽を設置される方に設置費用の一部を補助します。</v>
      </c>
      <c r="F234" s="125"/>
      <c r="G234" s="54"/>
      <c r="H234" s="147"/>
      <c r="I234" s="115"/>
      <c r="J234" s="90" t="s">
        <v>153</v>
      </c>
      <c r="K234" s="85" t="s">
        <v>190</v>
      </c>
      <c r="L234" s="86" t="s">
        <v>141</v>
      </c>
      <c r="M234" s="92"/>
      <c r="O234"/>
    </row>
    <row r="235" spans="1:15" ht="39.75" customHeight="1">
      <c r="A235" s="105"/>
      <c r="B235" s="138"/>
      <c r="C235" s="117"/>
      <c r="D235" s="16"/>
      <c r="E235" s="67" t="str">
        <f>HYPERLINK(G235, "【再掲】水洗便所等改造資金助成金")</f>
        <v>【再掲】水洗便所等改造資金助成金</v>
      </c>
      <c r="F235" s="45" t="s">
        <v>10</v>
      </c>
      <c r="G235" s="60" t="str">
        <f>HYPERLINK("#", "https://www.city.ise.mie.jp/jougesuidou/info/hojo/1003282.html")</f>
        <v>https://www.city.ise.mie.jp/jougesuidou/info/hojo/1003282.html</v>
      </c>
      <c r="H235" s="126" t="s">
        <v>32</v>
      </c>
      <c r="I235" s="113" t="s">
        <v>118</v>
      </c>
      <c r="J235" s="90" t="s">
        <v>165</v>
      </c>
      <c r="K235" s="85" t="s">
        <v>190</v>
      </c>
      <c r="L235" s="86" t="s">
        <v>141</v>
      </c>
      <c r="N235" s="10"/>
    </row>
    <row r="236" spans="1:15" ht="105" customHeight="1">
      <c r="A236" s="105"/>
      <c r="B236" s="138"/>
      <c r="C236" s="117"/>
      <c r="D236" s="15"/>
      <c r="E236" s="153" t="str">
        <f>E138</f>
        <v>　下水道の処理区域内において、市民税非課税世帯等でくみ取り便所の水洗化及び排水設備の設置又は改造を行う者に対し、その工事に必要となる費用の2分の1に相当する額（上限38万円）を助成します。</v>
      </c>
      <c r="F236" s="154"/>
      <c r="G236" s="61"/>
      <c r="H236" s="127"/>
      <c r="I236" s="114"/>
      <c r="J236" s="90" t="s">
        <v>165</v>
      </c>
      <c r="K236" s="85" t="s">
        <v>190</v>
      </c>
      <c r="L236" s="86" t="s">
        <v>141</v>
      </c>
      <c r="N236" s="10"/>
    </row>
    <row r="237" spans="1:15" ht="39.75" customHeight="1">
      <c r="A237" s="105"/>
      <c r="B237" s="138"/>
      <c r="C237" s="117"/>
      <c r="D237" s="16"/>
      <c r="E237" s="67" t="str">
        <f>HYPERLINK(G237, "【再掲】水洗便所等改造資金融資あっせん利子補給金")</f>
        <v>【再掲】水洗便所等改造資金融資あっせん利子補給金</v>
      </c>
      <c r="F237" s="45" t="s">
        <v>10</v>
      </c>
      <c r="G237" s="60" t="str">
        <f>HYPERLINK("#", "https://www.city.ise.mie.jp/jougesuidou/info/hojo/1003282.html")</f>
        <v>https://www.city.ise.mie.jp/jougesuidou/info/hojo/1003282.html</v>
      </c>
      <c r="H237" s="127"/>
      <c r="I237" s="114"/>
      <c r="J237" s="90" t="s">
        <v>165</v>
      </c>
      <c r="K237" s="85" t="s">
        <v>190</v>
      </c>
      <c r="L237" s="86" t="s">
        <v>141</v>
      </c>
      <c r="N237" s="10"/>
    </row>
    <row r="238" spans="1:15" ht="103.5" customHeight="1">
      <c r="A238" s="105"/>
      <c r="B238" s="138"/>
      <c r="C238" s="117"/>
      <c r="D238" s="15"/>
      <c r="E238" s="153" t="str">
        <f>E140</f>
        <v>　下水道の処理区域内において、供用開始の日から3年以内に、くみ取り便所の水洗化及び排水設備の設置又は改造を行う場合、市のあっせんを経て市と協定した金融機関から無利子で100万円以内の融資を受けることができます。</v>
      </c>
      <c r="F238" s="154"/>
      <c r="G238" s="61"/>
      <c r="H238" s="127"/>
      <c r="I238" s="114"/>
      <c r="J238" s="90" t="s">
        <v>165</v>
      </c>
      <c r="K238" s="85" t="s">
        <v>190</v>
      </c>
      <c r="L238" s="86" t="s">
        <v>141</v>
      </c>
      <c r="N238" s="10"/>
    </row>
    <row r="239" spans="1:15" ht="39.75" customHeight="1">
      <c r="A239" s="105"/>
      <c r="B239" s="138"/>
      <c r="C239" s="117"/>
      <c r="D239" s="16"/>
      <c r="E239" s="67" t="str">
        <f>HYPERLINK(G239, "【再掲】浄化槽雨水貯留施設転用工事費補助金")</f>
        <v>【再掲】浄化槽雨水貯留施設転用工事費補助金</v>
      </c>
      <c r="F239" s="45" t="s">
        <v>10</v>
      </c>
      <c r="G239" s="60" t="str">
        <f>HYPERLINK("#", "https://www.city.ise.mie.jp/jougesuidou/info/hojo/1003271.html")</f>
        <v>https://www.city.ise.mie.jp/jougesuidou/info/hojo/1003271.html</v>
      </c>
      <c r="H239" s="127"/>
      <c r="I239" s="114"/>
      <c r="J239" s="90" t="s">
        <v>165</v>
      </c>
      <c r="K239" s="85" t="s">
        <v>190</v>
      </c>
      <c r="L239" s="86" t="s">
        <v>141</v>
      </c>
      <c r="N239" s="10"/>
    </row>
    <row r="240" spans="1:15" ht="103.5" customHeight="1">
      <c r="A240" s="105"/>
      <c r="B240" s="138"/>
      <c r="C240" s="117"/>
      <c r="D240" s="15"/>
      <c r="E240" s="153" t="str">
        <f>E142</f>
        <v>　下水道の供用開始の日から3年以内に、公共下水道に接続することにより不用となる浄化槽を、雨水貯留施設として再利用するために行う工事に要する費用のうち2分の1（上限7.5万円）を補助します。</v>
      </c>
      <c r="F240" s="154"/>
      <c r="G240" s="61"/>
      <c r="H240" s="128"/>
      <c r="I240" s="115"/>
      <c r="J240" s="90" t="s">
        <v>165</v>
      </c>
      <c r="K240" s="85" t="s">
        <v>190</v>
      </c>
      <c r="L240" s="86" t="s">
        <v>141</v>
      </c>
      <c r="N240" s="10"/>
    </row>
    <row r="241" spans="1:15" ht="39.75" customHeight="1">
      <c r="A241" s="105"/>
      <c r="B241" s="138"/>
      <c r="C241" s="117"/>
      <c r="D241" s="16"/>
      <c r="E241" s="67" t="str">
        <f>HYPERLINK(G241, "道路後退用地等に係る助成金")</f>
        <v>道路後退用地等に係る助成金</v>
      </c>
      <c r="F241" s="50" t="s">
        <v>10</v>
      </c>
      <c r="G241" s="56" t="str">
        <f>HYPERLINK("#", "https://www.city.ise.mie.jp/kurashi/douro_kasen_kouen/douro_kouji/1005157.html")</f>
        <v>https://www.city.ise.mie.jp/kurashi/douro_kasen_kouen/douro_kouji/1005157.html</v>
      </c>
      <c r="H241" s="183" t="s">
        <v>68</v>
      </c>
      <c r="I241" s="164" t="s">
        <v>69</v>
      </c>
      <c r="J241" s="90" t="s">
        <v>170</v>
      </c>
      <c r="K241" s="85" t="s">
        <v>191</v>
      </c>
      <c r="L241" s="86" t="s">
        <v>141</v>
      </c>
    </row>
    <row r="242" spans="1:15" ht="66" customHeight="1">
      <c r="A242" s="105"/>
      <c r="B242" s="138"/>
      <c r="C242" s="117"/>
      <c r="D242" s="15"/>
      <c r="E242" s="124" t="s">
        <v>282</v>
      </c>
      <c r="F242" s="125"/>
      <c r="G242" s="56"/>
      <c r="H242" s="183"/>
      <c r="I242" s="164"/>
      <c r="J242" s="90" t="s">
        <v>170</v>
      </c>
      <c r="K242" s="85" t="s">
        <v>192</v>
      </c>
      <c r="L242" s="86" t="s">
        <v>141</v>
      </c>
    </row>
    <row r="243" spans="1:15" ht="39.75" customHeight="1">
      <c r="A243" s="105"/>
      <c r="B243" s="138"/>
      <c r="C243" s="117"/>
      <c r="D243" s="16"/>
      <c r="E243" s="24" t="s">
        <v>90</v>
      </c>
      <c r="F243" s="51" t="s">
        <v>10</v>
      </c>
      <c r="G243" s="63"/>
      <c r="H243" s="183" t="s">
        <v>70</v>
      </c>
      <c r="I243" s="151" t="s">
        <v>135</v>
      </c>
      <c r="J243" s="90" t="s">
        <v>171</v>
      </c>
      <c r="K243" s="85" t="s">
        <v>190</v>
      </c>
      <c r="L243" s="86" t="s">
        <v>141</v>
      </c>
    </row>
    <row r="244" spans="1:15" ht="69" customHeight="1" thickBot="1">
      <c r="A244" s="106"/>
      <c r="B244" s="139"/>
      <c r="C244" s="156"/>
      <c r="D244" s="100"/>
      <c r="E244" s="184" t="s">
        <v>100</v>
      </c>
      <c r="F244" s="166"/>
      <c r="G244" s="65"/>
      <c r="H244" s="185"/>
      <c r="I244" s="186"/>
      <c r="J244" s="90" t="s">
        <v>171</v>
      </c>
      <c r="K244" s="85" t="s">
        <v>190</v>
      </c>
      <c r="L244" s="86" t="s">
        <v>141</v>
      </c>
    </row>
    <row r="245" spans="1:15" ht="39.75" customHeight="1">
      <c r="A245" s="105">
        <v>6</v>
      </c>
      <c r="B245" s="120" t="s">
        <v>151</v>
      </c>
      <c r="C245" s="117" t="s">
        <v>113</v>
      </c>
      <c r="D245" s="28"/>
      <c r="E245" s="67" t="str">
        <f>HYPERLINK(G245, "老朽危険空家等除却費補助金")</f>
        <v>老朽危険空家等除却費補助金</v>
      </c>
      <c r="F245" s="50" t="s">
        <v>10</v>
      </c>
      <c r="G245" s="56" t="str">
        <f>HYPERLINK("#", "https://www.city.ise.mie.jp/kurashi/hikkoshi_sumai/akiya/hojo/1011137.html")</f>
        <v>https://www.city.ise.mie.jp/kurashi/hikkoshi_sumai/akiya/hojo/1011137.html</v>
      </c>
      <c r="H245" s="145" t="s">
        <v>26</v>
      </c>
      <c r="I245" s="114" t="s">
        <v>91</v>
      </c>
      <c r="J245" s="90" t="s">
        <v>169</v>
      </c>
      <c r="K245" s="85" t="s">
        <v>193</v>
      </c>
      <c r="L245" s="86" t="s">
        <v>113</v>
      </c>
    </row>
    <row r="246" spans="1:15" ht="66.75" customHeight="1">
      <c r="A246" s="105"/>
      <c r="B246" s="120"/>
      <c r="C246" s="117"/>
      <c r="D246" s="15"/>
      <c r="E246" s="124" t="s">
        <v>283</v>
      </c>
      <c r="F246" s="125"/>
      <c r="G246" s="56"/>
      <c r="H246" s="145"/>
      <c r="I246" s="115"/>
      <c r="J246" s="90" t="s">
        <v>169</v>
      </c>
      <c r="K246" s="85" t="s">
        <v>193</v>
      </c>
      <c r="L246" s="86" t="s">
        <v>113</v>
      </c>
    </row>
    <row r="247" spans="1:15" s="10" customFormat="1" ht="39.75" customHeight="1">
      <c r="A247" s="105"/>
      <c r="B247" s="120"/>
      <c r="C247" s="117"/>
      <c r="D247" s="28"/>
      <c r="E247" s="67" t="str">
        <f>HYPERLINK(G247, "【再掲】木造住宅耐震診断等事業")</f>
        <v>【再掲】木造住宅耐震診断等事業</v>
      </c>
      <c r="F247" s="43" t="s">
        <v>10</v>
      </c>
      <c r="G247" s="55" t="str">
        <f>HYPERLINK("#", "https://www.city.ise.mie.jp/bousai_kyukyu/bousai/hojo/1004977.html")</f>
        <v>https://www.city.ise.mie.jp/bousai_kyukyu/bousai/hojo/1004977.html</v>
      </c>
      <c r="H247" s="145"/>
      <c r="I247" s="113" t="s">
        <v>27</v>
      </c>
      <c r="J247" s="90" t="s">
        <v>169</v>
      </c>
      <c r="K247" s="85" t="s">
        <v>193</v>
      </c>
      <c r="L247" s="86" t="s">
        <v>113</v>
      </c>
      <c r="M247" s="92"/>
      <c r="O247"/>
    </row>
    <row r="248" spans="1:15" s="10" customFormat="1" ht="75.75" customHeight="1">
      <c r="A248" s="105"/>
      <c r="B248" s="120"/>
      <c r="C248" s="117"/>
      <c r="D248" s="15"/>
      <c r="E248" s="124" t="str">
        <f>E224</f>
        <v>　昭和56年5月31日以前に着工された木造住宅を対象に、無料で耐震診断を実施します。（鉄骨造・コンクリート造やプレハブ住宅等は対象外です）</v>
      </c>
      <c r="F248" s="125"/>
      <c r="G248" s="61"/>
      <c r="H248" s="145"/>
      <c r="I248" s="114"/>
      <c r="J248" s="90" t="s">
        <v>169</v>
      </c>
      <c r="K248" s="85" t="s">
        <v>193</v>
      </c>
      <c r="L248" s="86" t="s">
        <v>113</v>
      </c>
      <c r="M248" s="92"/>
      <c r="O248"/>
    </row>
    <row r="249" spans="1:15" s="10" customFormat="1" ht="39.75" customHeight="1">
      <c r="A249" s="105"/>
      <c r="B249" s="120"/>
      <c r="C249" s="117"/>
      <c r="D249" s="16"/>
      <c r="E249" s="33" t="s">
        <v>173</v>
      </c>
      <c r="F249" s="43" t="s">
        <v>10</v>
      </c>
      <c r="G249" s="55"/>
      <c r="H249" s="145"/>
      <c r="I249" s="114"/>
      <c r="J249" s="90" t="s">
        <v>169</v>
      </c>
      <c r="K249" s="85" t="s">
        <v>193</v>
      </c>
      <c r="L249" s="86" t="s">
        <v>113</v>
      </c>
      <c r="M249" s="92"/>
      <c r="O249"/>
    </row>
    <row r="250" spans="1:15" s="10" customFormat="1" ht="75.75" customHeight="1">
      <c r="A250" s="105"/>
      <c r="B250" s="120"/>
      <c r="C250" s="117"/>
      <c r="D250" s="15"/>
      <c r="E250" s="124" t="s">
        <v>284</v>
      </c>
      <c r="F250" s="125"/>
      <c r="G250" s="61"/>
      <c r="H250" s="145"/>
      <c r="I250" s="114"/>
      <c r="J250" s="90" t="s">
        <v>169</v>
      </c>
      <c r="K250" s="85" t="s">
        <v>193</v>
      </c>
      <c r="L250" s="86" t="s">
        <v>113</v>
      </c>
      <c r="M250" s="92"/>
      <c r="O250"/>
    </row>
    <row r="251" spans="1:15" s="10" customFormat="1" ht="39.75" customHeight="1">
      <c r="A251" s="105"/>
      <c r="B251" s="120"/>
      <c r="C251" s="117"/>
      <c r="D251" s="16"/>
      <c r="E251" s="67" t="str">
        <f>HYPERLINK(G251, "【再掲】木造住宅耐震補強等事業費補助金")</f>
        <v>【再掲】木造住宅耐震補強等事業費補助金</v>
      </c>
      <c r="F251" s="43" t="s">
        <v>10</v>
      </c>
      <c r="G251" s="55" t="str">
        <f>HYPERLINK("#", "https://www.city.ise.mie.jp/bousai_kyukyu/bousai/hojo/1013783.html")</f>
        <v>https://www.city.ise.mie.jp/bousai_kyukyu/bousai/hojo/1013783.html</v>
      </c>
      <c r="H251" s="145"/>
      <c r="I251" s="114"/>
      <c r="J251" s="90" t="s">
        <v>169</v>
      </c>
      <c r="K251" s="85" t="s">
        <v>193</v>
      </c>
      <c r="L251" s="86" t="s">
        <v>113</v>
      </c>
      <c r="M251" s="92"/>
      <c r="O251"/>
    </row>
    <row r="252" spans="1:15" s="10" customFormat="1" ht="75.75" customHeight="1">
      <c r="A252" s="105"/>
      <c r="B252" s="120"/>
      <c r="C252" s="117"/>
      <c r="D252" s="15"/>
      <c r="E252" s="124" t="str">
        <f>E226</f>
        <v>　耐震診断の結果、「倒壊する可能性が高い」と判定された場合で、耐震補強工事、耐震シェルター設置、空家除却工事を実施する際に要した費用の一部を補助します。</v>
      </c>
      <c r="F252" s="125"/>
      <c r="G252" s="61"/>
      <c r="H252" s="145"/>
      <c r="I252" s="114"/>
      <c r="J252" s="90" t="s">
        <v>169</v>
      </c>
      <c r="K252" s="85" t="s">
        <v>193</v>
      </c>
      <c r="L252" s="86" t="s">
        <v>113</v>
      </c>
      <c r="M252" s="92"/>
      <c r="O252"/>
    </row>
    <row r="253" spans="1:15" s="10" customFormat="1" ht="39.75" customHeight="1">
      <c r="A253" s="105"/>
      <c r="B253" s="120"/>
      <c r="C253" s="117"/>
      <c r="D253" s="16"/>
      <c r="E253" s="67" t="str">
        <f>HYPERLINK(G253, "【再掲】木造住宅耐震補強設計事業費補助金")</f>
        <v>【再掲】木造住宅耐震補強設計事業費補助金</v>
      </c>
      <c r="F253" s="43" t="s">
        <v>10</v>
      </c>
      <c r="G253" s="55" t="str">
        <f>HYPERLINK("#", "https://www.city.ise.mie.jp/bousai_kyukyu/bousai/hojo/1013783.html")</f>
        <v>https://www.city.ise.mie.jp/bousai_kyukyu/bousai/hojo/1013783.html</v>
      </c>
      <c r="H253" s="145"/>
      <c r="I253" s="114"/>
      <c r="J253" s="90" t="s">
        <v>169</v>
      </c>
      <c r="K253" s="85" t="s">
        <v>193</v>
      </c>
      <c r="L253" s="86" t="s">
        <v>113</v>
      </c>
      <c r="M253" s="92"/>
      <c r="O253"/>
    </row>
    <row r="254" spans="1:15" s="10" customFormat="1" ht="75.75" customHeight="1">
      <c r="A254" s="105"/>
      <c r="B254" s="120"/>
      <c r="C254" s="117"/>
      <c r="D254" s="15"/>
      <c r="E254" s="124" t="str">
        <f>E228</f>
        <v>　耐震診断の結果、「倒壊する可能性が高い」または「倒壊する可能性がある」と判定された場合で、耐震補強設計書を作成する際に要した費用の一部を補助します。</v>
      </c>
      <c r="F254" s="125"/>
      <c r="G254" s="61"/>
      <c r="H254" s="145"/>
      <c r="I254" s="114"/>
      <c r="J254" s="90" t="s">
        <v>169</v>
      </c>
      <c r="K254" s="85" t="s">
        <v>193</v>
      </c>
      <c r="L254" s="86" t="s">
        <v>113</v>
      </c>
      <c r="M254" s="92"/>
      <c r="O254"/>
    </row>
    <row r="255" spans="1:15" s="10" customFormat="1" ht="39.75" customHeight="1">
      <c r="A255" s="105"/>
      <c r="B255" s="120"/>
      <c r="C255" s="117"/>
      <c r="D255" s="16"/>
      <c r="E255" s="67" t="str">
        <f>HYPERLINK(G255, "【再掲】ブロック塀等撤去事業補助金")</f>
        <v>【再掲】ブロック塀等撤去事業補助金</v>
      </c>
      <c r="F255" s="43" t="s">
        <v>10</v>
      </c>
      <c r="G255" s="55" t="str">
        <f>HYPERLINK("#", "https://www.city.ise.mie.jp/bousai_kyukyu/bousai/hojo/1004916.html")</f>
        <v>https://www.city.ise.mie.jp/bousai_kyukyu/bousai/hojo/1004916.html</v>
      </c>
      <c r="H255" s="145"/>
      <c r="I255" s="114"/>
      <c r="J255" s="90" t="s">
        <v>169</v>
      </c>
      <c r="K255" s="85" t="s">
        <v>193</v>
      </c>
      <c r="L255" s="86" t="s">
        <v>113</v>
      </c>
      <c r="M255" s="92"/>
      <c r="O255"/>
    </row>
    <row r="256" spans="1:15" s="10" customFormat="1" ht="75.75" customHeight="1">
      <c r="A256" s="105"/>
      <c r="B256" s="120"/>
      <c r="C256" s="117"/>
      <c r="D256" s="15"/>
      <c r="E256" s="124" t="str">
        <f>E230</f>
        <v>　道路に面したブロック塀（道路面からの高さが1ｍを超えるもの。お隣との境界にあるブロック塀等は対象外）を壊す際に要した費用の一部を補助します。</v>
      </c>
      <c r="F256" s="125"/>
      <c r="G256" s="61"/>
      <c r="H256" s="145"/>
      <c r="I256" s="114"/>
      <c r="J256" s="90" t="s">
        <v>169</v>
      </c>
      <c r="K256" s="85" t="s">
        <v>193</v>
      </c>
      <c r="L256" s="86" t="s">
        <v>113</v>
      </c>
      <c r="M256" s="92"/>
      <c r="O256"/>
    </row>
    <row r="257" spans="1:15" s="10" customFormat="1" ht="39.75" customHeight="1">
      <c r="A257" s="105"/>
      <c r="B257" s="120"/>
      <c r="C257" s="117"/>
      <c r="D257" s="16"/>
      <c r="E257" s="20" t="s">
        <v>28</v>
      </c>
      <c r="F257" s="44" t="s">
        <v>10</v>
      </c>
      <c r="G257" s="60"/>
      <c r="H257" s="145"/>
      <c r="I257" s="114"/>
      <c r="J257" s="90" t="s">
        <v>169</v>
      </c>
      <c r="K257" s="85" t="s">
        <v>193</v>
      </c>
      <c r="L257" s="86" t="s">
        <v>113</v>
      </c>
      <c r="M257" s="92"/>
      <c r="O257"/>
    </row>
    <row r="258" spans="1:15" s="10" customFormat="1" ht="75.75" customHeight="1">
      <c r="A258" s="105"/>
      <c r="B258" s="120"/>
      <c r="C258" s="117"/>
      <c r="D258" s="15"/>
      <c r="E258" s="124" t="s">
        <v>285</v>
      </c>
      <c r="F258" s="125"/>
      <c r="G258" s="61"/>
      <c r="H258" s="147"/>
      <c r="I258" s="115"/>
      <c r="J258" s="90" t="s">
        <v>169</v>
      </c>
      <c r="K258" s="85" t="s">
        <v>193</v>
      </c>
      <c r="L258" s="86" t="s">
        <v>113</v>
      </c>
      <c r="M258" s="92"/>
      <c r="O258"/>
    </row>
    <row r="259" spans="1:15" s="10" customFormat="1" ht="39" customHeight="1">
      <c r="A259" s="105"/>
      <c r="B259" s="120"/>
      <c r="C259" s="117"/>
      <c r="D259" s="16"/>
      <c r="E259" s="67" t="str">
        <f>HYPERLINK(G259, "【再掲】自主防災隊補助事業")</f>
        <v>【再掲】自主防災隊補助事業</v>
      </c>
      <c r="F259" s="39" t="s">
        <v>10</v>
      </c>
      <c r="G259" s="60" t="str">
        <f>HYPERLINK("#", "https://www.city.ise.mie.jp/bousai_kyukyu/bousai/1001757.html")</f>
        <v>https://www.city.ise.mie.jp/bousai_kyukyu/bousai/1001757.html</v>
      </c>
      <c r="H259" s="129" t="s">
        <v>311</v>
      </c>
      <c r="I259" s="164" t="s">
        <v>25</v>
      </c>
      <c r="J259" s="90" t="s">
        <v>172</v>
      </c>
      <c r="K259" s="85" t="s">
        <v>193</v>
      </c>
      <c r="L259" s="86" t="s">
        <v>113</v>
      </c>
      <c r="M259" s="92"/>
      <c r="O259"/>
    </row>
    <row r="260" spans="1:15" s="10" customFormat="1" ht="75.75" customHeight="1">
      <c r="A260" s="105"/>
      <c r="B260" s="120"/>
      <c r="C260" s="117"/>
      <c r="D260" s="15"/>
      <c r="E260" s="124" t="str">
        <f>E32</f>
        <v>　市内自主防災隊及び自治会の資機材、防災備蓄、防災倉庫整備、隊員の研修派遣等への補助及び防災訓練の助成を行います。</v>
      </c>
      <c r="F260" s="125"/>
      <c r="G260" s="61"/>
      <c r="H260" s="145"/>
      <c r="I260" s="164"/>
      <c r="J260" s="90" t="s">
        <v>172</v>
      </c>
      <c r="K260" s="85" t="s">
        <v>193</v>
      </c>
      <c r="L260" s="86" t="s">
        <v>113</v>
      </c>
      <c r="M260" s="92"/>
      <c r="O260"/>
    </row>
    <row r="261" spans="1:15" s="10" customFormat="1" ht="39" customHeight="1">
      <c r="A261" s="105"/>
      <c r="B261" s="120"/>
      <c r="C261" s="117"/>
      <c r="D261" s="16"/>
      <c r="E261" s="67" t="str">
        <f>HYPERLINK(G261, "【再掲】防犯灯整備事業補助金／防犯灯維持管理経費助成金")</f>
        <v>【再掲】防犯灯整備事業補助金／防犯灯維持管理経費助成金</v>
      </c>
      <c r="F261" s="39" t="s">
        <v>10</v>
      </c>
      <c r="G261" s="60" t="str">
        <f>HYPERLINK("#", "https://www.city.ise.mie.jp/bousai_kyukyu/anzen/bouhan/1001778.html")</f>
        <v>https://www.city.ise.mie.jp/bousai_kyukyu/anzen/bouhan/1001778.html</v>
      </c>
      <c r="H261" s="145"/>
      <c r="I261" s="113" t="s">
        <v>309</v>
      </c>
      <c r="J261" s="90" t="s">
        <v>172</v>
      </c>
      <c r="K261" s="85" t="s">
        <v>193</v>
      </c>
      <c r="L261" s="86" t="s">
        <v>113</v>
      </c>
      <c r="M261" s="92"/>
      <c r="O261"/>
    </row>
    <row r="262" spans="1:15" s="10" customFormat="1" ht="75.75" customHeight="1">
      <c r="A262" s="105"/>
      <c r="B262" s="120"/>
      <c r="C262" s="117"/>
      <c r="D262" s="15"/>
      <c r="E262" s="124" t="str">
        <f>E28</f>
        <v>　夜間の犯罪を防止し、安全な市民生活の確保を図るため、自治会が実施する防犯灯の整備等に要する経費に対して予算の範囲内で補助します。</v>
      </c>
      <c r="F262" s="125"/>
      <c r="G262" s="61"/>
      <c r="H262" s="145"/>
      <c r="I262" s="114"/>
      <c r="J262" s="90" t="s">
        <v>172</v>
      </c>
      <c r="K262" s="85" t="s">
        <v>193</v>
      </c>
      <c r="L262" s="86" t="s">
        <v>113</v>
      </c>
      <c r="M262" s="92"/>
      <c r="O262"/>
    </row>
    <row r="263" spans="1:15" s="10" customFormat="1" ht="39" customHeight="1">
      <c r="A263" s="105"/>
      <c r="B263" s="120"/>
      <c r="C263" s="117"/>
      <c r="D263" s="16"/>
      <c r="E263" s="67" t="str">
        <f>HYPERLINK(G263, "【再掲】防犯カメラ設置補助金／防犯カメラ維持管理経費助成金")</f>
        <v>【再掲】防犯カメラ設置補助金／防犯カメラ維持管理経費助成金</v>
      </c>
      <c r="F263" s="39" t="s">
        <v>10</v>
      </c>
      <c r="G263" s="60" t="str">
        <f>HYPERLINK("#", "https://www.city.ise.mie.jp/bousai_kyukyu/anzen/bouhan/1015266.html")</f>
        <v>https://www.city.ise.mie.jp/bousai_kyukyu/anzen/bouhan/1015266.html</v>
      </c>
      <c r="H263" s="145"/>
      <c r="I263" s="114"/>
      <c r="J263" s="90" t="s">
        <v>172</v>
      </c>
      <c r="K263" s="85" t="s">
        <v>193</v>
      </c>
      <c r="L263" s="86" t="s">
        <v>113</v>
      </c>
      <c r="M263" s="92"/>
      <c r="O263"/>
    </row>
    <row r="264" spans="1:15" s="10" customFormat="1" ht="75.75" customHeight="1">
      <c r="A264" s="105"/>
      <c r="B264" s="120"/>
      <c r="C264" s="117"/>
      <c r="D264" s="15"/>
      <c r="E264" s="124" t="str">
        <f>E30</f>
        <v>　安全で安心なまちづくりを推進するため、防犯対策の一環として、自治会が実施する防犯カメラの整備等に要する経費に対して予算の範囲内で補助します。</v>
      </c>
      <c r="F264" s="125"/>
      <c r="G264" s="61"/>
      <c r="H264" s="145"/>
      <c r="I264" s="114"/>
      <c r="J264" s="90" t="s">
        <v>172</v>
      </c>
      <c r="K264" s="85" t="s">
        <v>193</v>
      </c>
      <c r="L264" s="86" t="s">
        <v>113</v>
      </c>
      <c r="M264" s="92"/>
      <c r="O264"/>
    </row>
    <row r="265" spans="1:15" s="10" customFormat="1" ht="39" customHeight="1">
      <c r="A265" s="105"/>
      <c r="B265" s="120"/>
      <c r="C265" s="117"/>
      <c r="D265" s="16"/>
      <c r="E265" s="89" t="str">
        <f>HYPERLINK(G265, "【再掲】特殊詐欺等被害防止機器購入補助金")</f>
        <v>【再掲】特殊詐欺等被害防止機器購入補助金</v>
      </c>
      <c r="F265" s="39" t="s">
        <v>10</v>
      </c>
      <c r="G265" s="60" t="s">
        <v>205</v>
      </c>
      <c r="H265" s="145"/>
      <c r="I265" s="114"/>
      <c r="J265" s="90" t="s">
        <v>172</v>
      </c>
      <c r="K265" s="85" t="s">
        <v>193</v>
      </c>
      <c r="L265" s="86" t="s">
        <v>113</v>
      </c>
      <c r="M265" s="92"/>
      <c r="O265"/>
    </row>
    <row r="266" spans="1:15" s="10" customFormat="1" ht="75.75" customHeight="1">
      <c r="A266" s="105"/>
      <c r="B266" s="120"/>
      <c r="C266" s="118"/>
      <c r="D266" s="15"/>
      <c r="E266" s="124" t="s">
        <v>286</v>
      </c>
      <c r="F266" s="125"/>
      <c r="G266" s="61"/>
      <c r="H266" s="147"/>
      <c r="I266" s="115"/>
      <c r="J266" s="90" t="s">
        <v>172</v>
      </c>
      <c r="K266" s="85" t="s">
        <v>193</v>
      </c>
      <c r="L266" s="86" t="s">
        <v>113</v>
      </c>
      <c r="M266" s="92"/>
      <c r="O266"/>
    </row>
    <row r="267" spans="1:15" ht="39.75" customHeight="1">
      <c r="A267" s="105"/>
      <c r="B267" s="120"/>
      <c r="C267" s="107" t="s">
        <v>142</v>
      </c>
      <c r="D267" s="16"/>
      <c r="E267" s="67" t="str">
        <f>HYPERLINK(G267, "クラウドファンディング型ふるさと納税活用補助金")</f>
        <v>クラウドファンディング型ふるさと納税活用補助金</v>
      </c>
      <c r="F267" s="43" t="s">
        <v>10</v>
      </c>
      <c r="G267" s="56" t="s">
        <v>209</v>
      </c>
      <c r="H267" s="129" t="s">
        <v>211</v>
      </c>
      <c r="I267" s="164" t="s">
        <v>210</v>
      </c>
      <c r="J267" s="90" t="s">
        <v>171</v>
      </c>
      <c r="K267" s="85" t="s">
        <v>193</v>
      </c>
      <c r="L267" s="86" t="s">
        <v>194</v>
      </c>
    </row>
    <row r="268" spans="1:15" ht="66" customHeight="1">
      <c r="A268" s="105"/>
      <c r="B268" s="120"/>
      <c r="C268" s="108"/>
      <c r="D268" s="15"/>
      <c r="E268" s="124" t="s">
        <v>287</v>
      </c>
      <c r="F268" s="125"/>
      <c r="G268" s="56"/>
      <c r="H268" s="147"/>
      <c r="I268" s="164"/>
      <c r="J268" s="90" t="s">
        <v>171</v>
      </c>
      <c r="K268" s="85" t="s">
        <v>193</v>
      </c>
      <c r="L268" s="86" t="s">
        <v>194</v>
      </c>
    </row>
    <row r="269" spans="1:15" ht="39.75" customHeight="1">
      <c r="A269" s="105"/>
      <c r="B269" s="120"/>
      <c r="C269" s="108"/>
      <c r="D269" s="16"/>
      <c r="E269" s="67" t="str">
        <f>HYPERLINK(G269, "景観形成推進事業補助金")</f>
        <v>景観形成推進事業補助金</v>
      </c>
      <c r="F269" s="43" t="s">
        <v>10</v>
      </c>
      <c r="G269" s="63" t="str">
        <f>HYPERLINK("#", "https://www.city.ise.mie.jp/machi/keikan/1005049.html")</f>
        <v>https://www.city.ise.mie.jp/machi/keikan/1005049.html</v>
      </c>
      <c r="H269" s="144" t="s">
        <v>64</v>
      </c>
      <c r="I269" s="164" t="s">
        <v>65</v>
      </c>
      <c r="J269" s="90" t="s">
        <v>174</v>
      </c>
      <c r="K269" s="85" t="s">
        <v>193</v>
      </c>
      <c r="L269" s="86" t="s">
        <v>194</v>
      </c>
    </row>
    <row r="270" spans="1:15" ht="66" customHeight="1">
      <c r="A270" s="105"/>
      <c r="B270" s="120"/>
      <c r="C270" s="108"/>
      <c r="D270" s="15"/>
      <c r="E270" s="124" t="s">
        <v>288</v>
      </c>
      <c r="F270" s="125"/>
      <c r="G270" s="56"/>
      <c r="H270" s="145"/>
      <c r="I270" s="164"/>
      <c r="J270" s="90" t="s">
        <v>174</v>
      </c>
      <c r="K270" s="85" t="s">
        <v>193</v>
      </c>
      <c r="L270" s="86" t="s">
        <v>194</v>
      </c>
    </row>
    <row r="271" spans="1:15" ht="39.75" customHeight="1">
      <c r="A271" s="105"/>
      <c r="B271" s="120"/>
      <c r="C271" s="108"/>
      <c r="D271" s="16"/>
      <c r="E271" s="25" t="s">
        <v>66</v>
      </c>
      <c r="F271" s="50" t="s">
        <v>10</v>
      </c>
      <c r="G271" s="63"/>
      <c r="H271" s="145"/>
      <c r="I271" s="113" t="s">
        <v>67</v>
      </c>
      <c r="J271" s="90" t="s">
        <v>175</v>
      </c>
      <c r="K271" s="85" t="s">
        <v>193</v>
      </c>
      <c r="L271" s="86" t="s">
        <v>194</v>
      </c>
    </row>
    <row r="272" spans="1:15" ht="66" customHeight="1">
      <c r="A272" s="105"/>
      <c r="B272" s="120"/>
      <c r="C272" s="108"/>
      <c r="D272" s="15"/>
      <c r="E272" s="124" t="s">
        <v>290</v>
      </c>
      <c r="F272" s="125"/>
      <c r="G272" s="75"/>
      <c r="H272" s="145"/>
      <c r="I272" s="114"/>
      <c r="J272" s="90" t="s">
        <v>175</v>
      </c>
      <c r="K272" s="85" t="s">
        <v>193</v>
      </c>
      <c r="L272" s="86" t="s">
        <v>194</v>
      </c>
    </row>
    <row r="273" spans="1:14" ht="39.75" customHeight="1">
      <c r="A273" s="105"/>
      <c r="B273" s="120"/>
      <c r="C273" s="108"/>
      <c r="D273" s="16"/>
      <c r="E273" s="25" t="s">
        <v>289</v>
      </c>
      <c r="F273" s="50" t="s">
        <v>10</v>
      </c>
      <c r="G273" s="56"/>
      <c r="H273" s="145"/>
      <c r="I273" s="114"/>
      <c r="J273" s="90" t="s">
        <v>175</v>
      </c>
      <c r="K273" s="85" t="s">
        <v>193</v>
      </c>
      <c r="L273" s="86" t="s">
        <v>194</v>
      </c>
    </row>
    <row r="274" spans="1:14" ht="66" customHeight="1" thickBot="1">
      <c r="A274" s="106"/>
      <c r="B274" s="121"/>
      <c r="C274" s="182"/>
      <c r="D274" s="26"/>
      <c r="E274" s="184" t="s">
        <v>291</v>
      </c>
      <c r="F274" s="166"/>
      <c r="G274" s="65"/>
      <c r="H274" s="173"/>
      <c r="I274" s="157"/>
      <c r="J274" s="90" t="s">
        <v>174</v>
      </c>
      <c r="K274" s="85" t="s">
        <v>193</v>
      </c>
      <c r="L274" s="86" t="s">
        <v>194</v>
      </c>
    </row>
    <row r="275" spans="1:14" ht="39.75" customHeight="1">
      <c r="A275" s="155">
        <v>7</v>
      </c>
      <c r="B275" s="198" t="s">
        <v>177</v>
      </c>
      <c r="C275" s="199"/>
      <c r="D275" s="16"/>
      <c r="E275" s="69" t="str">
        <f>HYPERLINK(G275, "【再掲】集大会・合宿誘致補助金")</f>
        <v>【再掲】集大会・合宿誘致補助金</v>
      </c>
      <c r="F275" s="99" t="s">
        <v>10</v>
      </c>
      <c r="G275" s="60" t="str">
        <f>HYPERLINK("#", "https://www.city.ise.mie.jp/kyouiku/sports/hojo/index.html")</f>
        <v>https://www.city.ise.mie.jp/kyouiku/sports/hojo/index.html</v>
      </c>
      <c r="H275" s="144" t="s">
        <v>48</v>
      </c>
      <c r="I275" s="174" t="s">
        <v>109</v>
      </c>
      <c r="J275" s="90" t="s">
        <v>167</v>
      </c>
      <c r="K275" s="85" t="s">
        <v>182</v>
      </c>
      <c r="L275" s="86" t="s">
        <v>140</v>
      </c>
      <c r="N275" s="10"/>
    </row>
    <row r="276" spans="1:14" ht="66" customHeight="1" thickBot="1">
      <c r="A276" s="106"/>
      <c r="B276" s="136"/>
      <c r="C276" s="137"/>
      <c r="D276" s="26"/>
      <c r="E276" s="184" t="str">
        <f>E216</f>
        <v>　市内で開催される県大会以上の規模の各種学会やスポーツ大会、または文化・スポーツ合宿の参加者が市内で宿泊する費用に対し、補助金を交付します。</v>
      </c>
      <c r="F276" s="166"/>
      <c r="G276" s="73"/>
      <c r="H276" s="173"/>
      <c r="I276" s="175"/>
      <c r="J276" s="90" t="s">
        <v>168</v>
      </c>
      <c r="K276" s="85" t="s">
        <v>182</v>
      </c>
      <c r="L276" s="86" t="s">
        <v>195</v>
      </c>
      <c r="N276" s="10"/>
    </row>
  </sheetData>
  <sheetProtection algorithmName="SHA-512" hashValue="CzRF/EcwxSqoursZ5EElEYrxj/mAomO9R9llYMHLIkfmph7YPVKPynirorbCY9KCEH48ipp3ILApv8zQOSGpHg==" saltValue="Ysmaw8MML9cn7kJ9jGyECQ==" spinCount="100000" sheet="1" objects="1" scenarios="1"/>
  <autoFilter ref="A4:O276"/>
  <mergeCells count="270">
    <mergeCell ref="I19:I22"/>
    <mergeCell ref="A275:A276"/>
    <mergeCell ref="B275:C276"/>
    <mergeCell ref="H275:H276"/>
    <mergeCell ref="I275:I276"/>
    <mergeCell ref="E276:F276"/>
    <mergeCell ref="I3:I4"/>
    <mergeCell ref="E4:F4"/>
    <mergeCell ref="H5:H16"/>
    <mergeCell ref="I5:I16"/>
    <mergeCell ref="E6:F6"/>
    <mergeCell ref="E8:F8"/>
    <mergeCell ref="E10:F10"/>
    <mergeCell ref="E12:F12"/>
    <mergeCell ref="E14:F14"/>
    <mergeCell ref="E16:F16"/>
    <mergeCell ref="H17:H18"/>
    <mergeCell ref="E250:F250"/>
    <mergeCell ref="E252:F252"/>
    <mergeCell ref="E254:F254"/>
    <mergeCell ref="E256:F256"/>
    <mergeCell ref="E258:F258"/>
    <mergeCell ref="I17:I18"/>
    <mergeCell ref="E18:F18"/>
    <mergeCell ref="A1:H1"/>
    <mergeCell ref="A3:C4"/>
    <mergeCell ref="H3:H4"/>
    <mergeCell ref="E28:F28"/>
    <mergeCell ref="E30:F30"/>
    <mergeCell ref="E266:F266"/>
    <mergeCell ref="E96:F96"/>
    <mergeCell ref="E94:F94"/>
    <mergeCell ref="E100:F100"/>
    <mergeCell ref="E104:F104"/>
    <mergeCell ref="E106:F106"/>
    <mergeCell ref="E98:F98"/>
    <mergeCell ref="H109:H120"/>
    <mergeCell ref="C33:C40"/>
    <mergeCell ref="E234:F234"/>
    <mergeCell ref="A33:A68"/>
    <mergeCell ref="C215:C216"/>
    <mergeCell ref="B195:B216"/>
    <mergeCell ref="C195:C214"/>
    <mergeCell ref="C147:C158"/>
    <mergeCell ref="E22:F22"/>
    <mergeCell ref="H19:H22"/>
    <mergeCell ref="E240:F240"/>
    <mergeCell ref="E262:F262"/>
    <mergeCell ref="E20:F20"/>
    <mergeCell ref="H23:H26"/>
    <mergeCell ref="I23:I24"/>
    <mergeCell ref="E24:F24"/>
    <mergeCell ref="I25:I26"/>
    <mergeCell ref="E26:F26"/>
    <mergeCell ref="E130:F130"/>
    <mergeCell ref="I259:I260"/>
    <mergeCell ref="E260:F260"/>
    <mergeCell ref="E248:F248"/>
    <mergeCell ref="I87:I102"/>
    <mergeCell ref="E74:F74"/>
    <mergeCell ref="I71:I74"/>
    <mergeCell ref="H87:H106"/>
    <mergeCell ref="I103:I106"/>
    <mergeCell ref="I107:I108"/>
    <mergeCell ref="E108:F108"/>
    <mergeCell ref="E110:F110"/>
    <mergeCell ref="E212:F212"/>
    <mergeCell ref="E196:F196"/>
    <mergeCell ref="I109:I120"/>
    <mergeCell ref="E164:F164"/>
    <mergeCell ref="E166:F166"/>
    <mergeCell ref="E148:F148"/>
    <mergeCell ref="I269:I270"/>
    <mergeCell ref="E270:F270"/>
    <mergeCell ref="H269:H274"/>
    <mergeCell ref="I271:I274"/>
    <mergeCell ref="E200:F200"/>
    <mergeCell ref="E202:F202"/>
    <mergeCell ref="E204:F204"/>
    <mergeCell ref="E230:F230"/>
    <mergeCell ref="E176:F176"/>
    <mergeCell ref="E178:F178"/>
    <mergeCell ref="E180:F180"/>
    <mergeCell ref="E182:F182"/>
    <mergeCell ref="E272:F272"/>
    <mergeCell ref="I213:I214"/>
    <mergeCell ref="H213:H214"/>
    <mergeCell ref="I267:I268"/>
    <mergeCell ref="H267:H268"/>
    <mergeCell ref="E264:F264"/>
    <mergeCell ref="E274:F274"/>
    <mergeCell ref="I195:I210"/>
    <mergeCell ref="E268:F268"/>
    <mergeCell ref="H231:H234"/>
    <mergeCell ref="I231:I232"/>
    <mergeCell ref="E218:F218"/>
    <mergeCell ref="C267:C274"/>
    <mergeCell ref="E112:F112"/>
    <mergeCell ref="H241:H242"/>
    <mergeCell ref="I241:I242"/>
    <mergeCell ref="E242:F242"/>
    <mergeCell ref="E220:F220"/>
    <mergeCell ref="E246:F246"/>
    <mergeCell ref="E238:F238"/>
    <mergeCell ref="H137:H142"/>
    <mergeCell ref="E244:F244"/>
    <mergeCell ref="H243:H244"/>
    <mergeCell ref="I243:I244"/>
    <mergeCell ref="H155:H158"/>
    <mergeCell ref="I155:I158"/>
    <mergeCell ref="E138:F138"/>
    <mergeCell ref="E140:F140"/>
    <mergeCell ref="E142:F142"/>
    <mergeCell ref="E144:F144"/>
    <mergeCell ref="E146:F146"/>
    <mergeCell ref="E160:F160"/>
    <mergeCell ref="E162:F162"/>
    <mergeCell ref="E134:F134"/>
    <mergeCell ref="E136:F136"/>
    <mergeCell ref="E236:F236"/>
    <mergeCell ref="I137:I142"/>
    <mergeCell ref="E150:F150"/>
    <mergeCell ref="H143:H146"/>
    <mergeCell ref="I143:I146"/>
    <mergeCell ref="E156:F156"/>
    <mergeCell ref="E158:F158"/>
    <mergeCell ref="E132:F132"/>
    <mergeCell ref="E128:F128"/>
    <mergeCell ref="E116:F116"/>
    <mergeCell ref="E118:F118"/>
    <mergeCell ref="E152:F152"/>
    <mergeCell ref="E120:F120"/>
    <mergeCell ref="E124:F124"/>
    <mergeCell ref="E126:F126"/>
    <mergeCell ref="E122:F122"/>
    <mergeCell ref="C107:C126"/>
    <mergeCell ref="B127:C146"/>
    <mergeCell ref="E54:F54"/>
    <mergeCell ref="E56:F56"/>
    <mergeCell ref="E58:F58"/>
    <mergeCell ref="E60:F60"/>
    <mergeCell ref="E86:F86"/>
    <mergeCell ref="E88:F88"/>
    <mergeCell ref="E102:F102"/>
    <mergeCell ref="E90:F90"/>
    <mergeCell ref="E62:F62"/>
    <mergeCell ref="E64:F64"/>
    <mergeCell ref="E66:F66"/>
    <mergeCell ref="E68:F68"/>
    <mergeCell ref="E78:F78"/>
    <mergeCell ref="E80:F80"/>
    <mergeCell ref="E52:F52"/>
    <mergeCell ref="I31:I32"/>
    <mergeCell ref="E32:F32"/>
    <mergeCell ref="I75:I86"/>
    <mergeCell ref="C45:C50"/>
    <mergeCell ref="E46:F46"/>
    <mergeCell ref="H45:H46"/>
    <mergeCell ref="I45:I46"/>
    <mergeCell ref="E232:F232"/>
    <mergeCell ref="E214:F214"/>
    <mergeCell ref="E224:F224"/>
    <mergeCell ref="E226:F226"/>
    <mergeCell ref="E228:F228"/>
    <mergeCell ref="H121:H122"/>
    <mergeCell ref="I121:I122"/>
    <mergeCell ref="E92:F92"/>
    <mergeCell ref="H215:H216"/>
    <mergeCell ref="I215:I216"/>
    <mergeCell ref="E206:F206"/>
    <mergeCell ref="E208:F208"/>
    <mergeCell ref="E210:F210"/>
    <mergeCell ref="I211:I212"/>
    <mergeCell ref="E72:F72"/>
    <mergeCell ref="E76:F76"/>
    <mergeCell ref="H195:H212"/>
    <mergeCell ref="A147:A158"/>
    <mergeCell ref="E222:F222"/>
    <mergeCell ref="E172:F172"/>
    <mergeCell ref="E168:F168"/>
    <mergeCell ref="I189:I190"/>
    <mergeCell ref="E190:F190"/>
    <mergeCell ref="E154:F154"/>
    <mergeCell ref="H159:H194"/>
    <mergeCell ref="A159:A194"/>
    <mergeCell ref="C159:C194"/>
    <mergeCell ref="E184:F184"/>
    <mergeCell ref="E186:F186"/>
    <mergeCell ref="E188:F188"/>
    <mergeCell ref="H147:H154"/>
    <mergeCell ref="B147:B158"/>
    <mergeCell ref="E170:F170"/>
    <mergeCell ref="I191:I192"/>
    <mergeCell ref="E192:F192"/>
    <mergeCell ref="E174:F174"/>
    <mergeCell ref="E216:F216"/>
    <mergeCell ref="E198:F198"/>
    <mergeCell ref="I159:I188"/>
    <mergeCell ref="A127:A146"/>
    <mergeCell ref="A245:A274"/>
    <mergeCell ref="B245:B274"/>
    <mergeCell ref="I147:I154"/>
    <mergeCell ref="H245:H258"/>
    <mergeCell ref="C245:C266"/>
    <mergeCell ref="I245:I246"/>
    <mergeCell ref="I247:I258"/>
    <mergeCell ref="H259:H266"/>
    <mergeCell ref="I261:I266"/>
    <mergeCell ref="A217:A244"/>
    <mergeCell ref="B217:B244"/>
    <mergeCell ref="C217:C244"/>
    <mergeCell ref="I233:I234"/>
    <mergeCell ref="H235:H240"/>
    <mergeCell ref="I235:I240"/>
    <mergeCell ref="H217:H218"/>
    <mergeCell ref="I217:I218"/>
    <mergeCell ref="H219:H230"/>
    <mergeCell ref="I219:I222"/>
    <mergeCell ref="I223:I230"/>
    <mergeCell ref="A195:A216"/>
    <mergeCell ref="I193:I194"/>
    <mergeCell ref="E194:F194"/>
    <mergeCell ref="B5:C32"/>
    <mergeCell ref="B159:B194"/>
    <mergeCell ref="B33:B68"/>
    <mergeCell ref="H71:H86"/>
    <mergeCell ref="H33:H34"/>
    <mergeCell ref="I33:I34"/>
    <mergeCell ref="H123:H126"/>
    <mergeCell ref="I123:I124"/>
    <mergeCell ref="I125:I126"/>
    <mergeCell ref="H127:H136"/>
    <mergeCell ref="I127:I130"/>
    <mergeCell ref="I131:I136"/>
    <mergeCell ref="H107:H108"/>
    <mergeCell ref="H69:H70"/>
    <mergeCell ref="I69:I70"/>
    <mergeCell ref="E70:F70"/>
    <mergeCell ref="I27:I30"/>
    <mergeCell ref="I47:I50"/>
    <mergeCell ref="E34:F34"/>
    <mergeCell ref="E36:F36"/>
    <mergeCell ref="E38:F38"/>
    <mergeCell ref="E40:F40"/>
    <mergeCell ref="E48:F48"/>
    <mergeCell ref="E50:F50"/>
    <mergeCell ref="A5:A32"/>
    <mergeCell ref="C51:C66"/>
    <mergeCell ref="C67:C68"/>
    <mergeCell ref="H67:H68"/>
    <mergeCell ref="H47:H66"/>
    <mergeCell ref="I51:I66"/>
    <mergeCell ref="I67:I68"/>
    <mergeCell ref="C103:C106"/>
    <mergeCell ref="C87:C102"/>
    <mergeCell ref="A103:A126"/>
    <mergeCell ref="B103:B126"/>
    <mergeCell ref="B87:B102"/>
    <mergeCell ref="A87:A102"/>
    <mergeCell ref="A69:A86"/>
    <mergeCell ref="E114:F114"/>
    <mergeCell ref="E82:F82"/>
    <mergeCell ref="E84:F84"/>
    <mergeCell ref="E42:F42"/>
    <mergeCell ref="E44:F44"/>
    <mergeCell ref="H35:H44"/>
    <mergeCell ref="I35:I44"/>
    <mergeCell ref="C69:C86"/>
    <mergeCell ref="B69:B86"/>
    <mergeCell ref="H27:H32"/>
  </mergeCells>
  <phoneticPr fontId="24"/>
  <hyperlinks>
    <hyperlink ref="G117" display="https://www.city.ise.mie.jp/kosodate/gyosei/k_josei/1013768/index.html"/>
  </hyperlinks>
  <printOptions horizontalCentered="1"/>
  <pageMargins left="3.937007874015748E-2" right="3.937007874015748E-2" top="0.59055118110236227" bottom="0.55118110236220474" header="0.51181102362204722" footer="0.31496062992125984"/>
  <pageSetup paperSize="9" scale="39" firstPageNumber="0" fitToHeight="0" orientation="portrait" r:id="rId1"/>
  <headerFooter>
    <oddFooter>&amp;C&amp;"メイリオ,Regular"&amp;36&amp;P／&amp;N</oddFooter>
  </headerFooter>
  <rowBreaks count="8" manualBreakCount="8">
    <brk id="32" max="8" man="1"/>
    <brk id="66" max="8" man="1"/>
    <brk id="102" max="8" man="1"/>
    <brk id="126" max="8" man="1"/>
    <brk id="158" max="8" man="1"/>
    <brk id="194" max="8" man="1"/>
    <brk id="216" max="8" man="1"/>
    <brk id="244" max="8"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R7補助金</vt:lpstr>
      <vt:lpstr>'R7補助金'!Print_Area</vt:lpstr>
      <vt:lpstr>'R7補助金'!Print_Titles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本多 彩子</dc:creator>
  <cp:lastModifiedBy>松村 綾子</cp:lastModifiedBy>
  <cp:lastPrinted>2025-03-28T02:27:19Z</cp:lastPrinted>
  <dcterms:created xsi:type="dcterms:W3CDTF">2021-03-31T00:13:38Z</dcterms:created>
  <dcterms:modified xsi:type="dcterms:W3CDTF">2025-03-31T02:14:51Z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2018-03-30T00:53:40Z</dcterms:created>
  <dc:creator/>
  <dc:description/>
  <dc:language>en-US</dc:language>
  <cp:lastModifiedBy/>
  <dcterms:modified xsi:type="dcterms:W3CDTF">2020-04-07T04:40:01Z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